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a4da366f573183a7/Desktop/PBox for submission last/"/>
    </mc:Choice>
  </mc:AlternateContent>
  <xr:revisionPtr revIDLastSave="0" documentId="8_{0292B846-7943-4433-8558-E6AC183311BD}" xr6:coauthVersionLast="44" xr6:coauthVersionMax="44" xr10:uidLastSave="{00000000-0000-0000-0000-000000000000}"/>
  <bookViews>
    <workbookView minimized="1" xWindow="4370" yWindow="2340" windowWidth="17720" windowHeight="8720" tabRatio="803" firstSheet="1" activeTab="6" xr2:uid="{00000000-000D-0000-FFFF-FFFF00000000}"/>
  </bookViews>
  <sheets>
    <sheet name="__JChemStructureSheet" sheetId="10" state="hidden" r:id="rId1"/>
    <sheet name="Table S1" sheetId="13" r:id="rId2"/>
    <sheet name="Table S2 " sheetId="2" r:id="rId3"/>
    <sheet name="Table S3" sheetId="21" r:id="rId4"/>
    <sheet name="Table S4 " sheetId="4" r:id="rId5"/>
    <sheet name="Table S5" sheetId="18" r:id="rId6"/>
    <sheet name="Table S6" sheetId="20" r:id="rId7"/>
    <sheet name="Table S7" sheetId="9" r:id="rId8"/>
    <sheet name="Table S8" sheetId="22" r:id="rId9"/>
    <sheet name="Table S9 " sheetId="23" r:id="rId10"/>
  </sheets>
  <externalReferences>
    <externalReference r:id="rId11"/>
  </externalReferences>
  <definedNames>
    <definedName name="_xlnm._FilterDatabase" localSheetId="2" hidden="1">'Table S2 '!$A$2:$N$403</definedName>
    <definedName name="_xlnm._FilterDatabase" localSheetId="3" hidden="1">'Table S3'!$A$3:$AR$404</definedName>
    <definedName name="_xlnm._FilterDatabase" localSheetId="5" hidden="1">'Table S5'!$A$1:$O$37</definedName>
    <definedName name="_xlnm._FilterDatabase" localSheetId="8" hidden="1">'Table S8'!$A$1:$K$401</definedName>
    <definedName name="_xlnm._FilterDatabase" localSheetId="9" hidden="1">'Table S9 '!$A$1:$N$37</definedName>
    <definedName name="_xlnm.Print_Area" localSheetId="8">'Table S8'!$A$1:$K$401</definedName>
    <definedName name="test_operator">'[1]Assay Header'!$C$45:$C$53</definedName>
    <definedName name="test_parameter">'[1]Assay Header'!$H$45:$H$53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39" i="23" l="1"/>
  <c r="F401" i="2"/>
  <c r="F395" i="2"/>
  <c r="F389" i="2"/>
  <c r="F383" i="2"/>
  <c r="F377" i="2"/>
  <c r="F371" i="2"/>
  <c r="F365" i="2"/>
  <c r="F359" i="2"/>
  <c r="F353" i="2"/>
  <c r="F347" i="2"/>
  <c r="F341" i="2"/>
  <c r="F335" i="2"/>
  <c r="F329" i="2"/>
  <c r="F323" i="2"/>
  <c r="F317" i="2"/>
  <c r="F311" i="2"/>
  <c r="F305" i="2"/>
  <c r="F299" i="2"/>
  <c r="F293" i="2"/>
  <c r="F287" i="2"/>
  <c r="F281" i="2"/>
  <c r="F275" i="2"/>
  <c r="F269" i="2"/>
  <c r="F263" i="2"/>
  <c r="F257" i="2"/>
  <c r="F251" i="2"/>
  <c r="F245" i="2"/>
  <c r="F239" i="2"/>
  <c r="F233" i="2"/>
  <c r="F227" i="2"/>
  <c r="F221" i="2"/>
  <c r="F215" i="2"/>
  <c r="F209" i="2"/>
  <c r="F203" i="2"/>
  <c r="F197" i="2"/>
  <c r="F191" i="2"/>
  <c r="F185" i="2"/>
  <c r="F179" i="2"/>
  <c r="F173" i="2"/>
  <c r="F167" i="2"/>
  <c r="F161" i="2"/>
  <c r="F155" i="2"/>
  <c r="F149" i="2"/>
  <c r="F143" i="2"/>
  <c r="F137" i="2"/>
  <c r="F131" i="2"/>
  <c r="F125" i="2"/>
  <c r="F119" i="2"/>
  <c r="F113" i="2"/>
  <c r="F107" i="2"/>
  <c r="F101" i="2"/>
  <c r="F95" i="2"/>
  <c r="F89" i="2"/>
  <c r="F83" i="2"/>
  <c r="F77" i="2"/>
  <c r="F71" i="2"/>
  <c r="F65" i="2"/>
  <c r="F59" i="2"/>
  <c r="F53" i="2"/>
  <c r="F47" i="2"/>
  <c r="F41" i="2"/>
  <c r="F35" i="2"/>
  <c r="F29" i="2"/>
  <c r="F23" i="2"/>
  <c r="F17" i="2"/>
  <c r="F11" i="2"/>
  <c r="F5" i="2"/>
  <c r="F394" i="2"/>
  <c r="F358" i="2"/>
  <c r="F346" i="2"/>
  <c r="F334" i="2"/>
  <c r="F322" i="2"/>
  <c r="F316" i="2"/>
  <c r="F304" i="2"/>
  <c r="F292" i="2"/>
  <c r="F280" i="2"/>
  <c r="F274" i="2"/>
  <c r="F262" i="2"/>
  <c r="F250" i="2"/>
  <c r="F244" i="2"/>
  <c r="F232" i="2"/>
  <c r="F220" i="2"/>
  <c r="F208" i="2"/>
  <c r="F202" i="2"/>
  <c r="F190" i="2"/>
  <c r="F184" i="2"/>
  <c r="F172" i="2"/>
  <c r="F160" i="2"/>
  <c r="F154" i="2"/>
  <c r="F142" i="2"/>
  <c r="F130" i="2"/>
  <c r="F124" i="2"/>
  <c r="F112" i="2"/>
  <c r="F106" i="2"/>
  <c r="F94" i="2"/>
  <c r="F82" i="2"/>
  <c r="F70" i="2"/>
  <c r="F64" i="2"/>
  <c r="F52" i="2"/>
  <c r="F46" i="2"/>
  <c r="F34" i="2"/>
  <c r="F22" i="2"/>
  <c r="F10" i="2"/>
  <c r="F177" i="2"/>
  <c r="F141" i="2"/>
  <c r="F129" i="2"/>
  <c r="F400" i="2"/>
  <c r="F388" i="2"/>
  <c r="F382" i="2"/>
  <c r="F376" i="2"/>
  <c r="F370" i="2"/>
  <c r="F364" i="2"/>
  <c r="F352" i="2"/>
  <c r="F340" i="2"/>
  <c r="F328" i="2"/>
  <c r="F310" i="2"/>
  <c r="F298" i="2"/>
  <c r="F286" i="2"/>
  <c r="F268" i="2"/>
  <c r="F256" i="2"/>
  <c r="F238" i="2"/>
  <c r="F226" i="2"/>
  <c r="F214" i="2"/>
  <c r="F196" i="2"/>
  <c r="F178" i="2"/>
  <c r="F166" i="2"/>
  <c r="F148" i="2"/>
  <c r="F136" i="2"/>
  <c r="F118" i="2"/>
  <c r="F100" i="2"/>
  <c r="F88" i="2"/>
  <c r="F76" i="2"/>
  <c r="F58" i="2"/>
  <c r="F40" i="2"/>
  <c r="F28" i="2"/>
  <c r="F16" i="2"/>
  <c r="F4" i="2"/>
  <c r="F165" i="2"/>
  <c r="F399" i="2"/>
  <c r="F393" i="2"/>
  <c r="F387" i="2"/>
  <c r="F381" i="2"/>
  <c r="F375" i="2"/>
  <c r="F369" i="2"/>
  <c r="F363" i="2"/>
  <c r="F357" i="2"/>
  <c r="F351" i="2"/>
  <c r="F345" i="2"/>
  <c r="F339" i="2"/>
  <c r="F333" i="2"/>
  <c r="F327" i="2"/>
  <c r="F321" i="2"/>
  <c r="F315" i="2"/>
  <c r="F309" i="2"/>
  <c r="F303" i="2"/>
  <c r="F297" i="2"/>
  <c r="F291" i="2"/>
  <c r="F285" i="2"/>
  <c r="F279" i="2"/>
  <c r="F273" i="2"/>
  <c r="F267" i="2"/>
  <c r="F261" i="2"/>
  <c r="F255" i="2"/>
  <c r="F249" i="2"/>
  <c r="F243" i="2"/>
  <c r="F237" i="2"/>
  <c r="F231" i="2"/>
  <c r="F225" i="2"/>
  <c r="F219" i="2"/>
  <c r="F213" i="2"/>
  <c r="F207" i="2"/>
  <c r="F201" i="2"/>
  <c r="F195" i="2"/>
  <c r="F189" i="2"/>
  <c r="F183" i="2"/>
  <c r="F171" i="2"/>
  <c r="F159" i="2"/>
  <c r="F153" i="2"/>
  <c r="F147" i="2"/>
  <c r="F135" i="2"/>
  <c r="F398" i="2"/>
  <c r="F392" i="2"/>
  <c r="F386" i="2"/>
  <c r="F380" i="2"/>
  <c r="F374" i="2"/>
  <c r="F368" i="2"/>
  <c r="F362" i="2"/>
  <c r="F356" i="2"/>
  <c r="F350" i="2"/>
  <c r="F344" i="2"/>
  <c r="F338" i="2"/>
  <c r="F332" i="2"/>
  <c r="F326" i="2"/>
  <c r="F320" i="2"/>
  <c r="F314" i="2"/>
  <c r="F308" i="2"/>
  <c r="F302" i="2"/>
  <c r="F296" i="2"/>
  <c r="F290" i="2"/>
  <c r="F284" i="2"/>
  <c r="F278" i="2"/>
  <c r="F272" i="2"/>
  <c r="F266" i="2"/>
  <c r="F260" i="2"/>
  <c r="F254" i="2"/>
  <c r="F248" i="2"/>
  <c r="F242" i="2"/>
  <c r="F236" i="2"/>
  <c r="F230" i="2"/>
  <c r="F224" i="2"/>
  <c r="F218" i="2"/>
  <c r="F212" i="2"/>
  <c r="F206" i="2"/>
  <c r="F200" i="2"/>
  <c r="F194" i="2"/>
  <c r="F188" i="2"/>
  <c r="F182" i="2"/>
  <c r="F176" i="2"/>
  <c r="F170" i="2"/>
  <c r="F164" i="2"/>
  <c r="F158" i="2"/>
  <c r="F152" i="2"/>
  <c r="F146" i="2"/>
  <c r="F140" i="2"/>
  <c r="F134" i="2"/>
  <c r="F128" i="2"/>
  <c r="F122" i="2"/>
  <c r="F116" i="2"/>
  <c r="F110" i="2"/>
  <c r="F104" i="2"/>
  <c r="F98" i="2"/>
  <c r="F92" i="2"/>
  <c r="F86" i="2"/>
  <c r="F80" i="2"/>
  <c r="F74" i="2"/>
  <c r="F68" i="2"/>
  <c r="F62" i="2"/>
  <c r="F56" i="2"/>
  <c r="F50" i="2"/>
  <c r="F44" i="2"/>
  <c r="F397" i="2"/>
  <c r="F391" i="2"/>
  <c r="F385" i="2"/>
  <c r="F379" i="2"/>
  <c r="F373" i="2"/>
  <c r="F367" i="2"/>
  <c r="F361" i="2"/>
  <c r="F355" i="2"/>
  <c r="F349" i="2"/>
  <c r="F343" i="2"/>
  <c r="F337" i="2"/>
  <c r="F331" i="2"/>
  <c r="F325" i="2"/>
  <c r="F319" i="2"/>
  <c r="F313" i="2"/>
  <c r="F307" i="2"/>
  <c r="F301" i="2"/>
  <c r="F295" i="2"/>
  <c r="F289" i="2"/>
  <c r="F283" i="2"/>
  <c r="F277" i="2"/>
  <c r="F271" i="2"/>
  <c r="F265" i="2"/>
  <c r="F259" i="2"/>
  <c r="F253" i="2"/>
  <c r="F247" i="2"/>
  <c r="F241" i="2"/>
  <c r="F235" i="2"/>
  <c r="F229" i="2"/>
  <c r="F223" i="2"/>
  <c r="F217" i="2"/>
  <c r="F211" i="2"/>
  <c r="F205" i="2"/>
  <c r="F199" i="2"/>
  <c r="F193" i="2"/>
  <c r="F187" i="2"/>
  <c r="F181" i="2"/>
  <c r="F175" i="2"/>
  <c r="F169" i="2"/>
  <c r="F163" i="2"/>
  <c r="F157" i="2"/>
  <c r="F151" i="2"/>
  <c r="F145" i="2"/>
  <c r="F139" i="2"/>
  <c r="F133" i="2"/>
  <c r="F127" i="2"/>
  <c r="F121" i="2"/>
  <c r="F115" i="2"/>
  <c r="F109" i="2"/>
  <c r="F103" i="2"/>
  <c r="F97" i="2"/>
  <c r="F91" i="2"/>
  <c r="F85" i="2"/>
  <c r="F79" i="2"/>
  <c r="F73" i="2"/>
  <c r="F67" i="2"/>
  <c r="F61" i="2"/>
  <c r="F55" i="2"/>
  <c r="F49" i="2"/>
  <c r="F43" i="2"/>
  <c r="F37" i="2"/>
  <c r="F31" i="2"/>
  <c r="F25" i="2"/>
  <c r="F19" i="2"/>
  <c r="F13" i="2"/>
  <c r="F7" i="2"/>
  <c r="F402" i="2"/>
  <c r="F396" i="2"/>
  <c r="F390" i="2"/>
  <c r="F384" i="2"/>
  <c r="F378" i="2"/>
  <c r="F372" i="2"/>
  <c r="F366" i="2"/>
  <c r="F360" i="2"/>
  <c r="F354" i="2"/>
  <c r="F348" i="2"/>
  <c r="F342" i="2"/>
  <c r="F336" i="2"/>
  <c r="F330" i="2"/>
  <c r="F324" i="2"/>
  <c r="F318" i="2"/>
  <c r="F312" i="2"/>
  <c r="F306" i="2"/>
  <c r="F300" i="2"/>
  <c r="F294" i="2"/>
  <c r="F288" i="2"/>
  <c r="F282" i="2"/>
  <c r="F276" i="2"/>
  <c r="F270" i="2"/>
  <c r="F264" i="2"/>
  <c r="F258" i="2"/>
  <c r="F252" i="2"/>
  <c r="F246" i="2"/>
  <c r="F240" i="2"/>
  <c r="F234" i="2"/>
  <c r="F228" i="2"/>
  <c r="F222" i="2"/>
  <c r="F216" i="2"/>
  <c r="F210" i="2"/>
  <c r="F204" i="2"/>
  <c r="F198" i="2"/>
  <c r="F192" i="2"/>
  <c r="F186" i="2"/>
  <c r="F180" i="2"/>
  <c r="F174" i="2"/>
  <c r="F168" i="2"/>
  <c r="F162" i="2"/>
  <c r="F156" i="2"/>
  <c r="F150" i="2"/>
  <c r="F144" i="2"/>
  <c r="F138" i="2"/>
  <c r="F132" i="2"/>
  <c r="F126" i="2"/>
  <c r="F120" i="2"/>
  <c r="F114" i="2"/>
  <c r="F108" i="2"/>
  <c r="F102" i="2"/>
  <c r="F96" i="2"/>
  <c r="F90" i="2"/>
  <c r="F84" i="2"/>
  <c r="F78" i="2"/>
  <c r="F72" i="2"/>
  <c r="F66" i="2"/>
  <c r="F60" i="2"/>
  <c r="F54" i="2"/>
  <c r="F48" i="2"/>
  <c r="F42" i="2"/>
  <c r="F123" i="2"/>
  <c r="F87" i="2"/>
  <c r="F51" i="2"/>
  <c r="F32" i="2"/>
  <c r="F20" i="2"/>
  <c r="F8" i="2"/>
  <c r="F117" i="2"/>
  <c r="F81" i="2"/>
  <c r="F30" i="2"/>
  <c r="F6" i="2"/>
  <c r="F75" i="2"/>
  <c r="F27" i="2"/>
  <c r="F3" i="2"/>
  <c r="F69" i="2"/>
  <c r="F26" i="2"/>
  <c r="F63" i="2"/>
  <c r="F24" i="2"/>
  <c r="F93" i="2"/>
  <c r="F57" i="2"/>
  <c r="F33" i="2"/>
  <c r="F21" i="2"/>
  <c r="F9" i="2"/>
  <c r="F45" i="2"/>
  <c r="F18" i="2"/>
  <c r="F111" i="2"/>
  <c r="F39" i="2"/>
  <c r="F15" i="2"/>
  <c r="F105" i="2"/>
  <c r="F38" i="2"/>
  <c r="F14" i="2"/>
  <c r="F99" i="2"/>
  <c r="F36" i="2"/>
  <c r="F12" i="2"/>
  <c r="Q11" i="21" l="1"/>
  <c r="S403" i="2" l="1"/>
  <c r="R403" i="2"/>
  <c r="Q403" i="2" l="1"/>
  <c r="W12" i="2"/>
  <c r="R9" i="21" l="1"/>
  <c r="Q9" i="21"/>
  <c r="R8" i="21"/>
  <c r="Q8" i="21"/>
  <c r="R7" i="21"/>
  <c r="W6" i="21" s="1"/>
  <c r="Q7" i="21"/>
  <c r="X316" i="21" l="1"/>
  <c r="W394" i="21"/>
  <c r="W383" i="21"/>
  <c r="W378" i="21"/>
  <c r="W362" i="21"/>
  <c r="W354" i="21"/>
  <c r="W330" i="21"/>
  <c r="W314" i="21"/>
  <c r="W298" i="21"/>
  <c r="W282" i="21"/>
  <c r="W266" i="21"/>
  <c r="W250" i="21"/>
  <c r="W234" i="21"/>
  <c r="W218" i="21"/>
  <c r="W202" i="21"/>
  <c r="W194" i="21"/>
  <c r="W186" i="21"/>
  <c r="W178" i="21"/>
  <c r="W162" i="21"/>
  <c r="W154" i="21"/>
  <c r="W146" i="21"/>
  <c r="W138" i="21"/>
  <c r="W130" i="21"/>
  <c r="W122" i="21"/>
  <c r="W114" i="21"/>
  <c r="W106" i="21"/>
  <c r="W98" i="21"/>
  <c r="W90" i="21"/>
  <c r="W82" i="21"/>
  <c r="W74" i="21"/>
  <c r="W66" i="21"/>
  <c r="W58" i="21"/>
  <c r="W50" i="21"/>
  <c r="W42" i="21"/>
  <c r="W34" i="21"/>
  <c r="W26" i="21"/>
  <c r="W18" i="21"/>
  <c r="W10" i="21"/>
  <c r="X6" i="21"/>
  <c r="X14" i="21"/>
  <c r="X22" i="21"/>
  <c r="X30" i="21"/>
  <c r="X39" i="21"/>
  <c r="X49" i="21"/>
  <c r="X69" i="21"/>
  <c r="X91" i="21"/>
  <c r="X112" i="21"/>
  <c r="X133" i="21"/>
  <c r="X155" i="21"/>
  <c r="X176" i="21"/>
  <c r="X197" i="21"/>
  <c r="X220" i="21"/>
  <c r="X252" i="21"/>
  <c r="X284" i="21"/>
  <c r="X402" i="21"/>
  <c r="X398" i="21"/>
  <c r="X394" i="21"/>
  <c r="X390" i="21"/>
  <c r="X386" i="21"/>
  <c r="X382" i="21"/>
  <c r="X378" i="21"/>
  <c r="X374" i="21"/>
  <c r="X370" i="21"/>
  <c r="X366" i="21"/>
  <c r="X362" i="21"/>
  <c r="X358" i="21"/>
  <c r="X354" i="21"/>
  <c r="X350" i="21"/>
  <c r="X346" i="21"/>
  <c r="X342" i="21"/>
  <c r="X338" i="21"/>
  <c r="X334" i="21"/>
  <c r="X330" i="21"/>
  <c r="X326" i="21"/>
  <c r="X322" i="21"/>
  <c r="X318" i="21"/>
  <c r="X314" i="21"/>
  <c r="X310" i="21"/>
  <c r="X306" i="21"/>
  <c r="X302" i="21"/>
  <c r="X298" i="21"/>
  <c r="X294" i="21"/>
  <c r="X290" i="21"/>
  <c r="X286" i="21"/>
  <c r="X282" i="21"/>
  <c r="X278" i="21"/>
  <c r="X274" i="21"/>
  <c r="X270" i="21"/>
  <c r="X266" i="21"/>
  <c r="X262" i="21"/>
  <c r="X258" i="21"/>
  <c r="X254" i="21"/>
  <c r="X250" i="21"/>
  <c r="X246" i="21"/>
  <c r="X242" i="21"/>
  <c r="X238" i="21"/>
  <c r="X234" i="21"/>
  <c r="X230" i="21"/>
  <c r="X226" i="21"/>
  <c r="X222" i="21"/>
  <c r="X218" i="21"/>
  <c r="X214" i="21"/>
  <c r="X210" i="21"/>
  <c r="X206" i="21"/>
  <c r="X202" i="21"/>
  <c r="X198" i="21"/>
  <c r="X194" i="21"/>
  <c r="X190" i="21"/>
  <c r="X186" i="21"/>
  <c r="X182" i="21"/>
  <c r="X178" i="21"/>
  <c r="X174" i="21"/>
  <c r="X170" i="21"/>
  <c r="X166" i="21"/>
  <c r="X162" i="21"/>
  <c r="X158" i="21"/>
  <c r="X154" i="21"/>
  <c r="X150" i="21"/>
  <c r="X146" i="21"/>
  <c r="X142" i="21"/>
  <c r="X138" i="21"/>
  <c r="X134" i="21"/>
  <c r="X130" i="21"/>
  <c r="X126" i="21"/>
  <c r="X122" i="21"/>
  <c r="X118" i="21"/>
  <c r="X114" i="21"/>
  <c r="X110" i="21"/>
  <c r="X106" i="21"/>
  <c r="X102" i="21"/>
  <c r="X98" i="21"/>
  <c r="X94" i="21"/>
  <c r="X90" i="21"/>
  <c r="X86" i="21"/>
  <c r="X82" i="21"/>
  <c r="X78" i="21"/>
  <c r="X74" i="21"/>
  <c r="X70" i="21"/>
  <c r="X66" i="21"/>
  <c r="X62" i="21"/>
  <c r="X58" i="21"/>
  <c r="X54" i="21"/>
  <c r="X50" i="21"/>
  <c r="X46" i="21"/>
  <c r="X42" i="21"/>
  <c r="X38" i="21"/>
  <c r="X401" i="21"/>
  <c r="X397" i="21"/>
  <c r="X393" i="21"/>
  <c r="X389" i="21"/>
  <c r="X385" i="21"/>
  <c r="X381" i="21"/>
  <c r="X377" i="21"/>
  <c r="X373" i="21"/>
  <c r="X369" i="21"/>
  <c r="X365" i="21"/>
  <c r="X361" i="21"/>
  <c r="X357" i="21"/>
  <c r="X353" i="21"/>
  <c r="X349" i="21"/>
  <c r="X345" i="21"/>
  <c r="X341" i="21"/>
  <c r="X337" i="21"/>
  <c r="X333" i="21"/>
  <c r="X329" i="21"/>
  <c r="X325" i="21"/>
  <c r="X321" i="21"/>
  <c r="X317" i="21"/>
  <c r="X313" i="21"/>
  <c r="X309" i="21"/>
  <c r="X305" i="21"/>
  <c r="X301" i="21"/>
  <c r="X297" i="21"/>
  <c r="X293" i="21"/>
  <c r="X289" i="21"/>
  <c r="X285" i="21"/>
  <c r="X281" i="21"/>
  <c r="X277" i="21"/>
  <c r="X273" i="21"/>
  <c r="X269" i="21"/>
  <c r="X265" i="21"/>
  <c r="X261" i="21"/>
  <c r="X257" i="21"/>
  <c r="X253" i="21"/>
  <c r="X249" i="21"/>
  <c r="X245" i="21"/>
  <c r="X241" i="21"/>
  <c r="X237" i="21"/>
  <c r="X233" i="21"/>
  <c r="X229" i="21"/>
  <c r="X225" i="21"/>
  <c r="X221" i="21"/>
  <c r="X217" i="21"/>
  <c r="X400" i="21"/>
  <c r="X396" i="21"/>
  <c r="X392" i="21"/>
  <c r="X388" i="21"/>
  <c r="X384" i="21"/>
  <c r="X380" i="21"/>
  <c r="X376" i="21"/>
  <c r="X372" i="21"/>
  <c r="X368" i="21"/>
  <c r="X364" i="21"/>
  <c r="X360" i="21"/>
  <c r="X399" i="21"/>
  <c r="X383" i="21"/>
  <c r="X367" i="21"/>
  <c r="X355" i="21"/>
  <c r="X347" i="21"/>
  <c r="X339" i="21"/>
  <c r="X331" i="21"/>
  <c r="X323" i="21"/>
  <c r="X315" i="21"/>
  <c r="X307" i="21"/>
  <c r="X299" i="21"/>
  <c r="X291" i="21"/>
  <c r="X283" i="21"/>
  <c r="X275" i="21"/>
  <c r="X267" i="21"/>
  <c r="X259" i="21"/>
  <c r="X251" i="21"/>
  <c r="X243" i="21"/>
  <c r="X235" i="21"/>
  <c r="X227" i="21"/>
  <c r="X219" i="21"/>
  <c r="X212" i="21"/>
  <c r="X207" i="21"/>
  <c r="X201" i="21"/>
  <c r="X196" i="21"/>
  <c r="X191" i="21"/>
  <c r="X185" i="21"/>
  <c r="X180" i="21"/>
  <c r="X175" i="21"/>
  <c r="X169" i="21"/>
  <c r="X164" i="21"/>
  <c r="X159" i="21"/>
  <c r="X153" i="21"/>
  <c r="X148" i="21"/>
  <c r="X143" i="21"/>
  <c r="X137" i="21"/>
  <c r="X132" i="21"/>
  <c r="X127" i="21"/>
  <c r="X121" i="21"/>
  <c r="X116" i="21"/>
  <c r="X111" i="21"/>
  <c r="X105" i="21"/>
  <c r="X100" i="21"/>
  <c r="X95" i="21"/>
  <c r="X89" i="21"/>
  <c r="X84" i="21"/>
  <c r="X79" i="21"/>
  <c r="X73" i="21"/>
  <c r="X68" i="21"/>
  <c r="X63" i="21"/>
  <c r="X57" i="21"/>
  <c r="X52" i="21"/>
  <c r="X47" i="21"/>
  <c r="X41" i="21"/>
  <c r="X36" i="21"/>
  <c r="X32" i="21"/>
  <c r="X28" i="21"/>
  <c r="X24" i="21"/>
  <c r="X20" i="21"/>
  <c r="X16" i="21"/>
  <c r="X12" i="21"/>
  <c r="X8" i="21"/>
  <c r="X4" i="21"/>
  <c r="X395" i="21"/>
  <c r="X379" i="21"/>
  <c r="X363" i="21"/>
  <c r="X352" i="21"/>
  <c r="X344" i="21"/>
  <c r="X336" i="21"/>
  <c r="X328" i="21"/>
  <c r="X320" i="21"/>
  <c r="X312" i="21"/>
  <c r="X304" i="21"/>
  <c r="X296" i="21"/>
  <c r="X288" i="21"/>
  <c r="X280" i="21"/>
  <c r="X272" i="21"/>
  <c r="X264" i="21"/>
  <c r="X256" i="21"/>
  <c r="X248" i="21"/>
  <c r="X240" i="21"/>
  <c r="X232" i="21"/>
  <c r="X224" i="21"/>
  <c r="X216" i="21"/>
  <c r="X211" i="21"/>
  <c r="X205" i="21"/>
  <c r="X200" i="21"/>
  <c r="X195" i="21"/>
  <c r="X189" i="21"/>
  <c r="X184" i="21"/>
  <c r="X179" i="21"/>
  <c r="X173" i="21"/>
  <c r="X168" i="21"/>
  <c r="X163" i="21"/>
  <c r="X157" i="21"/>
  <c r="X152" i="21"/>
  <c r="X147" i="21"/>
  <c r="X141" i="21"/>
  <c r="X136" i="21"/>
  <c r="X131" i="21"/>
  <c r="X125" i="21"/>
  <c r="X120" i="21"/>
  <c r="X115" i="21"/>
  <c r="X109" i="21"/>
  <c r="X104" i="21"/>
  <c r="X99" i="21"/>
  <c r="X93" i="21"/>
  <c r="X88" i="21"/>
  <c r="X83" i="21"/>
  <c r="X77" i="21"/>
  <c r="X72" i="21"/>
  <c r="X67" i="21"/>
  <c r="X61" i="21"/>
  <c r="X56" i="21"/>
  <c r="X51" i="21"/>
  <c r="X45" i="21"/>
  <c r="X40" i="21"/>
  <c r="X35" i="21"/>
  <c r="X31" i="21"/>
  <c r="X27" i="21"/>
  <c r="X23" i="21"/>
  <c r="X19" i="21"/>
  <c r="X15" i="21"/>
  <c r="X11" i="21"/>
  <c r="X7" i="21"/>
  <c r="X391" i="21"/>
  <c r="X375" i="21"/>
  <c r="X359" i="21"/>
  <c r="X351" i="21"/>
  <c r="X343" i="21"/>
  <c r="X335" i="21"/>
  <c r="X327" i="21"/>
  <c r="X319" i="21"/>
  <c r="X311" i="21"/>
  <c r="X303" i="21"/>
  <c r="X295" i="21"/>
  <c r="X287" i="21"/>
  <c r="X279" i="21"/>
  <c r="X271" i="21"/>
  <c r="X263" i="21"/>
  <c r="X255" i="21"/>
  <c r="X247" i="21"/>
  <c r="X239" i="21"/>
  <c r="X231" i="21"/>
  <c r="X223" i="21"/>
  <c r="X215" i="21"/>
  <c r="X209" i="21"/>
  <c r="X204" i="21"/>
  <c r="X199" i="21"/>
  <c r="X193" i="21"/>
  <c r="X188" i="21"/>
  <c r="X183" i="21"/>
  <c r="X177" i="21"/>
  <c r="X172" i="21"/>
  <c r="X167" i="21"/>
  <c r="X161" i="21"/>
  <c r="X156" i="21"/>
  <c r="X151" i="21"/>
  <c r="X145" i="21"/>
  <c r="X140" i="21"/>
  <c r="X135" i="21"/>
  <c r="X129" i="21"/>
  <c r="X124" i="21"/>
  <c r="X119" i="21"/>
  <c r="X113" i="21"/>
  <c r="X108" i="21"/>
  <c r="X103" i="21"/>
  <c r="X97" i="21"/>
  <c r="X92" i="21"/>
  <c r="X87" i="21"/>
  <c r="X81" i="21"/>
  <c r="X76" i="21"/>
  <c r="X71" i="21"/>
  <c r="X65" i="21"/>
  <c r="X60" i="21"/>
  <c r="X55" i="21"/>
  <c r="X403" i="21"/>
  <c r="X387" i="21"/>
  <c r="X371" i="21"/>
  <c r="X356" i="21"/>
  <c r="X348" i="21"/>
  <c r="W399" i="21"/>
  <c r="W389" i="21"/>
  <c r="W373" i="21"/>
  <c r="W367" i="21"/>
  <c r="W346" i="21"/>
  <c r="W338" i="21"/>
  <c r="W322" i="21"/>
  <c r="W306" i="21"/>
  <c r="W290" i="21"/>
  <c r="W274" i="21"/>
  <c r="W258" i="21"/>
  <c r="W242" i="21"/>
  <c r="W226" i="21"/>
  <c r="W210" i="21"/>
  <c r="W170" i="21"/>
  <c r="W403" i="21"/>
  <c r="W398" i="21"/>
  <c r="W393" i="21"/>
  <c r="W387" i="21"/>
  <c r="W382" i="21"/>
  <c r="W377" i="21"/>
  <c r="W371" i="21"/>
  <c r="W366" i="21"/>
  <c r="W359" i="21"/>
  <c r="W351" i="21"/>
  <c r="W343" i="21"/>
  <c r="W335" i="21"/>
  <c r="W327" i="21"/>
  <c r="W319" i="21"/>
  <c r="W311" i="21"/>
  <c r="W303" i="21"/>
  <c r="W295" i="21"/>
  <c r="W287" i="21"/>
  <c r="W279" i="21"/>
  <c r="W271" i="21"/>
  <c r="W263" i="21"/>
  <c r="W255" i="21"/>
  <c r="W247" i="21"/>
  <c r="W239" i="21"/>
  <c r="W231" i="21"/>
  <c r="W223" i="21"/>
  <c r="W215" i="21"/>
  <c r="W207" i="21"/>
  <c r="W199" i="21"/>
  <c r="W191" i="21"/>
  <c r="W183" i="21"/>
  <c r="W175" i="21"/>
  <c r="W167" i="21"/>
  <c r="W159" i="21"/>
  <c r="W151" i="21"/>
  <c r="W143" i="21"/>
  <c r="W135" i="21"/>
  <c r="W127" i="21"/>
  <c r="W119" i="21"/>
  <c r="W111" i="21"/>
  <c r="W103" i="21"/>
  <c r="W95" i="21"/>
  <c r="W87" i="21"/>
  <c r="W79" i="21"/>
  <c r="W71" i="21"/>
  <c r="W63" i="21"/>
  <c r="W55" i="21"/>
  <c r="W47" i="21"/>
  <c r="W39" i="21"/>
  <c r="W31" i="21"/>
  <c r="W23" i="21"/>
  <c r="W15" i="21"/>
  <c r="W7" i="21"/>
  <c r="X9" i="21"/>
  <c r="X17" i="21"/>
  <c r="X25" i="21"/>
  <c r="X33" i="21"/>
  <c r="X43" i="21"/>
  <c r="X53" i="21"/>
  <c r="X75" i="21"/>
  <c r="X96" i="21"/>
  <c r="X117" i="21"/>
  <c r="X139" i="21"/>
  <c r="X160" i="21"/>
  <c r="X181" i="21"/>
  <c r="X203" i="21"/>
  <c r="X228" i="21"/>
  <c r="X260" i="21"/>
  <c r="X292" i="21"/>
  <c r="X324" i="21"/>
  <c r="Y11" i="21"/>
  <c r="Y15" i="21"/>
  <c r="Y19" i="21"/>
  <c r="Y23" i="21"/>
  <c r="Y27" i="21"/>
  <c r="Y31" i="21"/>
  <c r="Y35" i="21"/>
  <c r="Y39" i="21"/>
  <c r="Y43" i="21"/>
  <c r="Y47" i="21"/>
  <c r="Y51" i="21"/>
  <c r="Y55" i="21"/>
  <c r="Y59" i="21"/>
  <c r="Y63" i="21"/>
  <c r="Y67" i="21"/>
  <c r="Y71" i="21"/>
  <c r="Y75" i="21"/>
  <c r="Y79" i="21"/>
  <c r="Y83" i="21"/>
  <c r="Y87" i="21"/>
  <c r="Y91" i="21"/>
  <c r="Y95" i="21"/>
  <c r="Y99" i="21"/>
  <c r="Y103" i="21"/>
  <c r="Y107" i="21"/>
  <c r="Y111" i="21"/>
  <c r="Y115" i="21"/>
  <c r="Y119" i="21"/>
  <c r="Y123" i="21"/>
  <c r="Y127" i="21"/>
  <c r="Y131" i="21"/>
  <c r="Y135" i="21"/>
  <c r="Y139" i="21"/>
  <c r="Y143" i="21"/>
  <c r="Y147" i="21"/>
  <c r="Y151" i="21"/>
  <c r="Y155" i="21"/>
  <c r="Y159" i="21"/>
  <c r="Y163" i="21"/>
  <c r="Y167" i="21"/>
  <c r="Y171" i="21"/>
  <c r="Y175" i="21"/>
  <c r="Y179" i="21"/>
  <c r="Y183" i="21"/>
  <c r="Y187" i="21"/>
  <c r="Y191" i="21"/>
  <c r="Y195" i="21"/>
  <c r="Y12" i="21"/>
  <c r="Y16" i="21"/>
  <c r="Y20" i="21"/>
  <c r="Y24" i="21"/>
  <c r="Y28" i="21"/>
  <c r="Y32" i="21"/>
  <c r="Y36" i="21"/>
  <c r="Y14" i="21"/>
  <c r="Y22" i="21"/>
  <c r="Y30" i="21"/>
  <c r="Y38" i="21"/>
  <c r="Y44" i="21"/>
  <c r="Y49" i="21"/>
  <c r="Y54" i="21"/>
  <c r="Y60" i="21"/>
  <c r="Y65" i="21"/>
  <c r="Y70" i="21"/>
  <c r="Y76" i="21"/>
  <c r="Y81" i="21"/>
  <c r="Y86" i="21"/>
  <c r="Y92" i="21"/>
  <c r="Y97" i="21"/>
  <c r="Y102" i="21"/>
  <c r="Y108" i="21"/>
  <c r="Y113" i="21"/>
  <c r="Y118" i="21"/>
  <c r="Y124" i="21"/>
  <c r="Y129" i="21"/>
  <c r="Y134" i="21"/>
  <c r="Y140" i="21"/>
  <c r="Y145" i="21"/>
  <c r="Y150" i="21"/>
  <c r="Y156" i="21"/>
  <c r="Y161" i="21"/>
  <c r="Y166" i="21"/>
  <c r="Y172" i="21"/>
  <c r="Y177" i="21"/>
  <c r="Y182" i="21"/>
  <c r="Y188" i="21"/>
  <c r="Y193" i="21"/>
  <c r="Y198" i="21"/>
  <c r="Y202" i="21"/>
  <c r="Y206" i="21"/>
  <c r="Y210" i="21"/>
  <c r="Y214" i="21"/>
  <c r="Y218" i="21"/>
  <c r="Y222" i="21"/>
  <c r="Y226" i="21"/>
  <c r="Y230" i="21"/>
  <c r="Y234" i="21"/>
  <c r="Y238" i="21"/>
  <c r="Y242" i="21"/>
  <c r="Y246" i="21"/>
  <c r="Y250" i="21"/>
  <c r="Y254" i="21"/>
  <c r="Y258" i="21"/>
  <c r="Y262" i="21"/>
  <c r="Y266" i="21"/>
  <c r="Y270" i="21"/>
  <c r="Y274" i="21"/>
  <c r="Y278" i="21"/>
  <c r="Y282" i="21"/>
  <c r="Y286" i="21"/>
  <c r="Y290" i="21"/>
  <c r="Y294" i="21"/>
  <c r="Y298" i="21"/>
  <c r="Y302" i="21"/>
  <c r="Y306" i="21"/>
  <c r="Y310" i="21"/>
  <c r="Y17" i="21"/>
  <c r="Y25" i="21"/>
  <c r="Y33" i="21"/>
  <c r="Y40" i="21"/>
  <c r="Y45" i="21"/>
  <c r="Y50" i="21"/>
  <c r="Y56" i="21"/>
  <c r="Y61" i="21"/>
  <c r="Y66" i="21"/>
  <c r="Y72" i="21"/>
  <c r="Y77" i="21"/>
  <c r="Y82" i="21"/>
  <c r="Y88" i="21"/>
  <c r="Y93" i="21"/>
  <c r="Y98" i="21"/>
  <c r="Y104" i="21"/>
  <c r="Y109" i="21"/>
  <c r="Y114" i="21"/>
  <c r="Y26" i="21"/>
  <c r="Y41" i="21"/>
  <c r="Y52" i="21"/>
  <c r="Y62" i="21"/>
  <c r="Y73" i="21"/>
  <c r="Y84" i="21"/>
  <c r="Y94" i="21"/>
  <c r="Y105" i="21"/>
  <c r="Y116" i="21"/>
  <c r="Y122" i="21"/>
  <c r="Y130" i="21"/>
  <c r="Y137" i="21"/>
  <c r="Y144" i="21"/>
  <c r="Y152" i="21"/>
  <c r="Y158" i="21"/>
  <c r="Y165" i="21"/>
  <c r="Y173" i="21"/>
  <c r="Y180" i="21"/>
  <c r="Y186" i="21"/>
  <c r="Y194" i="21"/>
  <c r="Y200" i="21"/>
  <c r="Y205" i="21"/>
  <c r="Y211" i="21"/>
  <c r="Y216" i="21"/>
  <c r="Y221" i="21"/>
  <c r="Y227" i="21"/>
  <c r="Y232" i="21"/>
  <c r="Y237" i="21"/>
  <c r="Y243" i="21"/>
  <c r="Y248" i="21"/>
  <c r="Y253" i="21"/>
  <c r="Y259" i="21"/>
  <c r="Y264" i="21"/>
  <c r="Y269" i="21"/>
  <c r="Y275" i="21"/>
  <c r="Y280" i="21"/>
  <c r="Y285" i="21"/>
  <c r="Y291" i="21"/>
  <c r="Y296" i="21"/>
  <c r="Y301" i="21"/>
  <c r="Y307" i="21"/>
  <c r="Y312" i="21"/>
  <c r="Y316" i="21"/>
  <c r="Y320" i="21"/>
  <c r="Y324" i="21"/>
  <c r="Y328" i="21"/>
  <c r="Y332" i="21"/>
  <c r="Y336" i="21"/>
  <c r="Y340" i="21"/>
  <c r="Y344" i="21"/>
  <c r="Y348" i="21"/>
  <c r="Y352" i="21"/>
  <c r="Y356" i="21"/>
  <c r="Y360" i="21"/>
  <c r="Y364" i="21"/>
  <c r="Y368" i="21"/>
  <c r="Y372" i="21"/>
  <c r="Y376" i="21"/>
  <c r="Y380" i="21"/>
  <c r="Y384" i="21"/>
  <c r="Y388" i="21"/>
  <c r="Y392" i="21"/>
  <c r="Y396" i="21"/>
  <c r="Y400" i="21"/>
  <c r="Y9" i="21"/>
  <c r="Y6" i="21"/>
  <c r="Y13" i="21"/>
  <c r="Y29" i="21"/>
  <c r="Y42" i="21"/>
  <c r="Y53" i="21"/>
  <c r="Y64" i="21"/>
  <c r="Y74" i="21"/>
  <c r="Y85" i="21"/>
  <c r="Y96" i="21"/>
  <c r="Y106" i="21"/>
  <c r="Y117" i="21"/>
  <c r="Y125" i="21"/>
  <c r="Y132" i="21"/>
  <c r="Y138" i="21"/>
  <c r="Y146" i="21"/>
  <c r="Y153" i="21"/>
  <c r="Y160" i="21"/>
  <c r="Y168" i="21"/>
  <c r="Y174" i="21"/>
  <c r="Y181" i="21"/>
  <c r="Y189" i="21"/>
  <c r="Y196" i="21"/>
  <c r="Y201" i="21"/>
  <c r="Y207" i="21"/>
  <c r="Y212" i="21"/>
  <c r="Y217" i="21"/>
  <c r="Y223" i="21"/>
  <c r="Y228" i="21"/>
  <c r="Y233" i="21"/>
  <c r="Y239" i="21"/>
  <c r="Y244" i="21"/>
  <c r="Y249" i="21"/>
  <c r="Y255" i="21"/>
  <c r="Y260" i="21"/>
  <c r="Y265" i="21"/>
  <c r="Y271" i="21"/>
  <c r="Y276" i="21"/>
  <c r="Y281" i="21"/>
  <c r="Y287" i="21"/>
  <c r="Y292" i="21"/>
  <c r="Y297" i="21"/>
  <c r="Y303" i="21"/>
  <c r="Y308" i="21"/>
  <c r="Y313" i="21"/>
  <c r="Y317" i="21"/>
  <c r="Y321" i="21"/>
  <c r="Y325" i="21"/>
  <c r="Y329" i="21"/>
  <c r="Y333" i="21"/>
  <c r="Y337" i="21"/>
  <c r="Y341" i="21"/>
  <c r="Y345" i="21"/>
  <c r="Y349" i="21"/>
  <c r="Y353" i="21"/>
  <c r="Y357" i="21"/>
  <c r="Y361" i="21"/>
  <c r="Y365" i="21"/>
  <c r="Y369" i="21"/>
  <c r="Y373" i="21"/>
  <c r="Y377" i="21"/>
  <c r="Y381" i="21"/>
  <c r="Y385" i="21"/>
  <c r="Y389" i="21"/>
  <c r="Y393" i="21"/>
  <c r="Y397" i="21"/>
  <c r="Y401" i="21"/>
  <c r="Y10" i="21"/>
  <c r="Y5" i="21"/>
  <c r="Y18" i="21"/>
  <c r="Y34" i="21"/>
  <c r="Y46" i="21"/>
  <c r="Y57" i="21"/>
  <c r="Y68" i="21"/>
  <c r="Y78" i="21"/>
  <c r="Y89" i="21"/>
  <c r="Y100" i="21"/>
  <c r="Y110" i="21"/>
  <c r="Y120" i="21"/>
  <c r="Y126" i="21"/>
  <c r="Y133" i="21"/>
  <c r="Y141" i="21"/>
  <c r="Y148" i="21"/>
  <c r="Y154" i="21"/>
  <c r="Y162" i="21"/>
  <c r="Y169" i="21"/>
  <c r="Y176" i="21"/>
  <c r="Y184" i="21"/>
  <c r="Y190" i="21"/>
  <c r="Y197" i="21"/>
  <c r="Y203" i="21"/>
  <c r="Y208" i="21"/>
  <c r="Y213" i="21"/>
  <c r="Y219" i="21"/>
  <c r="Y224" i="21"/>
  <c r="Y229" i="21"/>
  <c r="Y235" i="21"/>
  <c r="Y240" i="21"/>
  <c r="Y245" i="21"/>
  <c r="Y251" i="21"/>
  <c r="Y256" i="21"/>
  <c r="Y261" i="21"/>
  <c r="Y267" i="21"/>
  <c r="Y272" i="21"/>
  <c r="Y277" i="21"/>
  <c r="Y283" i="21"/>
  <c r="Y288" i="21"/>
  <c r="Y293" i="21"/>
  <c r="Y299" i="21"/>
  <c r="Y304" i="21"/>
  <c r="Y309" i="21"/>
  <c r="Y314" i="21"/>
  <c r="Y318" i="21"/>
  <c r="Y322" i="21"/>
  <c r="Y326" i="21"/>
  <c r="Y330" i="21"/>
  <c r="Y334" i="21"/>
  <c r="Y338" i="21"/>
  <c r="Y342" i="21"/>
  <c r="Y346" i="21"/>
  <c r="Y350" i="21"/>
  <c r="Y354" i="21"/>
  <c r="Y358" i="21"/>
  <c r="Y362" i="21"/>
  <c r="Y366" i="21"/>
  <c r="Y370" i="21"/>
  <c r="Y374" i="21"/>
  <c r="Y378" i="21"/>
  <c r="Y382" i="21"/>
  <c r="Y386" i="21"/>
  <c r="Y390" i="21"/>
  <c r="Y394" i="21"/>
  <c r="Y398" i="21"/>
  <c r="Y402" i="21"/>
  <c r="Y8" i="21"/>
  <c r="Y4" i="21"/>
  <c r="Y58" i="21"/>
  <c r="Y101" i="21"/>
  <c r="Y136" i="21"/>
  <c r="Y164" i="21"/>
  <c r="Y192" i="21"/>
  <c r="Y215" i="21"/>
  <c r="Y236" i="21"/>
  <c r="Y257" i="21"/>
  <c r="Y279" i="21"/>
  <c r="Y300" i="21"/>
  <c r="Y319" i="21"/>
  <c r="Y335" i="21"/>
  <c r="Y351" i="21"/>
  <c r="Y367" i="21"/>
  <c r="Y383" i="21"/>
  <c r="Y399" i="21"/>
  <c r="Y21" i="21"/>
  <c r="Y69" i="21"/>
  <c r="Y112" i="21"/>
  <c r="Y142" i="21"/>
  <c r="Y170" i="21"/>
  <c r="Y199" i="21"/>
  <c r="Y220" i="21"/>
  <c r="Y241" i="21"/>
  <c r="Y263" i="21"/>
  <c r="Y284" i="21"/>
  <c r="Y305" i="21"/>
  <c r="Y323" i="21"/>
  <c r="Y339" i="21"/>
  <c r="Y355" i="21"/>
  <c r="Y371" i="21"/>
  <c r="Y387" i="21"/>
  <c r="Y403" i="21"/>
  <c r="Y37" i="21"/>
  <c r="Y80" i="21"/>
  <c r="Y121" i="21"/>
  <c r="Y149" i="21"/>
  <c r="Y178" i="21"/>
  <c r="Y204" i="21"/>
  <c r="Y225" i="21"/>
  <c r="Y247" i="21"/>
  <c r="Y268" i="21"/>
  <c r="Y289" i="21"/>
  <c r="Y311" i="21"/>
  <c r="Y327" i="21"/>
  <c r="Y343" i="21"/>
  <c r="Y359" i="21"/>
  <c r="Y375" i="21"/>
  <c r="Y391" i="21"/>
  <c r="Y7" i="21"/>
  <c r="Y48" i="21"/>
  <c r="Y90" i="21"/>
  <c r="Y128" i="21"/>
  <c r="Y157" i="21"/>
  <c r="Y185" i="21"/>
  <c r="Y209" i="21"/>
  <c r="Y231" i="21"/>
  <c r="Y252" i="21"/>
  <c r="Y273" i="21"/>
  <c r="Y295" i="21"/>
  <c r="Y315" i="21"/>
  <c r="Y331" i="21"/>
  <c r="Y347" i="21"/>
  <c r="Y363" i="21"/>
  <c r="Y379" i="21"/>
  <c r="Y395" i="21"/>
  <c r="W397" i="21"/>
  <c r="W386" i="21"/>
  <c r="W375" i="21"/>
  <c r="W365" i="21"/>
  <c r="W350" i="21"/>
  <c r="W334" i="21"/>
  <c r="W318" i="21"/>
  <c r="W302" i="21"/>
  <c r="W278" i="21"/>
  <c r="W254" i="21"/>
  <c r="W222" i="21"/>
  <c r="W214" i="21"/>
  <c r="W206" i="21"/>
  <c r="W198" i="21"/>
  <c r="W190" i="21"/>
  <c r="W182" i="21"/>
  <c r="W174" i="21"/>
  <c r="W166" i="21"/>
  <c r="W158" i="21"/>
  <c r="W150" i="21"/>
  <c r="W142" i="21"/>
  <c r="W134" i="21"/>
  <c r="W126" i="21"/>
  <c r="W118" i="21"/>
  <c r="W110" i="21"/>
  <c r="W102" i="21"/>
  <c r="W94" i="21"/>
  <c r="W86" i="21"/>
  <c r="W78" i="21"/>
  <c r="W70" i="21"/>
  <c r="W62" i="21"/>
  <c r="W54" i="21"/>
  <c r="W46" i="21"/>
  <c r="W38" i="21"/>
  <c r="W30" i="21"/>
  <c r="W22" i="21"/>
  <c r="W14" i="21"/>
  <c r="X10" i="21"/>
  <c r="X18" i="21"/>
  <c r="X26" i="21"/>
  <c r="X34" i="21"/>
  <c r="X44" i="21"/>
  <c r="X59" i="21"/>
  <c r="X80" i="21"/>
  <c r="X101" i="21"/>
  <c r="X123" i="21"/>
  <c r="X144" i="21"/>
  <c r="X165" i="21"/>
  <c r="X187" i="21"/>
  <c r="X208" i="21"/>
  <c r="X236" i="21"/>
  <c r="X268" i="21"/>
  <c r="X300" i="21"/>
  <c r="X332" i="21"/>
  <c r="W8" i="21"/>
  <c r="W12" i="21"/>
  <c r="W16" i="21"/>
  <c r="W20" i="21"/>
  <c r="W24" i="21"/>
  <c r="W28" i="21"/>
  <c r="W32" i="21"/>
  <c r="W36" i="21"/>
  <c r="W40" i="21"/>
  <c r="W44" i="21"/>
  <c r="W48" i="21"/>
  <c r="W52" i="21"/>
  <c r="W56" i="21"/>
  <c r="W60" i="21"/>
  <c r="W64" i="21"/>
  <c r="W68" i="21"/>
  <c r="W72" i="21"/>
  <c r="W76" i="21"/>
  <c r="W80" i="21"/>
  <c r="W84" i="21"/>
  <c r="W88" i="21"/>
  <c r="W92" i="21"/>
  <c r="W96" i="21"/>
  <c r="W100" i="21"/>
  <c r="W104" i="21"/>
  <c r="W108" i="21"/>
  <c r="W112" i="21"/>
  <c r="W116" i="21"/>
  <c r="W120" i="21"/>
  <c r="W124" i="21"/>
  <c r="W128" i="21"/>
  <c r="W132" i="21"/>
  <c r="W136" i="21"/>
  <c r="W140" i="21"/>
  <c r="W144" i="21"/>
  <c r="W148" i="21"/>
  <c r="W152" i="21"/>
  <c r="W156" i="21"/>
  <c r="W160" i="21"/>
  <c r="W164" i="21"/>
  <c r="W168" i="21"/>
  <c r="W172" i="21"/>
  <c r="W176" i="21"/>
  <c r="W180" i="21"/>
  <c r="W184" i="21"/>
  <c r="W188" i="21"/>
  <c r="W192" i="21"/>
  <c r="W196" i="21"/>
  <c r="W200" i="21"/>
  <c r="W204" i="21"/>
  <c r="W208" i="21"/>
  <c r="W212" i="21"/>
  <c r="W216" i="21"/>
  <c r="W220" i="21"/>
  <c r="W224" i="21"/>
  <c r="W228" i="21"/>
  <c r="W232" i="21"/>
  <c r="W236" i="21"/>
  <c r="W240" i="21"/>
  <c r="W244" i="21"/>
  <c r="W248" i="21"/>
  <c r="W252" i="21"/>
  <c r="W256" i="21"/>
  <c r="W260" i="21"/>
  <c r="W264" i="21"/>
  <c r="W268" i="21"/>
  <c r="W272" i="21"/>
  <c r="W276" i="21"/>
  <c r="W280" i="21"/>
  <c r="W284" i="21"/>
  <c r="W288" i="21"/>
  <c r="W292" i="21"/>
  <c r="W296" i="21"/>
  <c r="W300" i="21"/>
  <c r="W304" i="21"/>
  <c r="W308" i="21"/>
  <c r="W312" i="21"/>
  <c r="W316" i="21"/>
  <c r="W320" i="21"/>
  <c r="W324" i="21"/>
  <c r="W328" i="21"/>
  <c r="W332" i="21"/>
  <c r="W336" i="21"/>
  <c r="W340" i="21"/>
  <c r="W344" i="21"/>
  <c r="W348" i="21"/>
  <c r="W352" i="21"/>
  <c r="W356" i="21"/>
  <c r="W360" i="21"/>
  <c r="W364" i="21"/>
  <c r="W368" i="21"/>
  <c r="W372" i="21"/>
  <c r="W376" i="21"/>
  <c r="W380" i="21"/>
  <c r="W384" i="21"/>
  <c r="W388" i="21"/>
  <c r="W392" i="21"/>
  <c r="W396" i="21"/>
  <c r="W400" i="21"/>
  <c r="W4" i="21"/>
  <c r="W5" i="21"/>
  <c r="W9" i="21"/>
  <c r="W13" i="21"/>
  <c r="W17" i="21"/>
  <c r="W21" i="21"/>
  <c r="W25" i="21"/>
  <c r="W29" i="21"/>
  <c r="W33" i="21"/>
  <c r="W37" i="21"/>
  <c r="W41" i="21"/>
  <c r="W45" i="21"/>
  <c r="W49" i="21"/>
  <c r="W53" i="21"/>
  <c r="W57" i="21"/>
  <c r="W61" i="21"/>
  <c r="W65" i="21"/>
  <c r="W69" i="21"/>
  <c r="W73" i="21"/>
  <c r="W77" i="21"/>
  <c r="W81" i="21"/>
  <c r="W85" i="21"/>
  <c r="W89" i="21"/>
  <c r="W93" i="21"/>
  <c r="W97" i="21"/>
  <c r="W101" i="21"/>
  <c r="W105" i="21"/>
  <c r="W109" i="21"/>
  <c r="W113" i="21"/>
  <c r="W117" i="21"/>
  <c r="W121" i="21"/>
  <c r="W125" i="21"/>
  <c r="W129" i="21"/>
  <c r="W133" i="21"/>
  <c r="W137" i="21"/>
  <c r="W141" i="21"/>
  <c r="W145" i="21"/>
  <c r="W149" i="21"/>
  <c r="W153" i="21"/>
  <c r="W157" i="21"/>
  <c r="W161" i="21"/>
  <c r="W165" i="21"/>
  <c r="W169" i="21"/>
  <c r="W173" i="21"/>
  <c r="W177" i="21"/>
  <c r="W181" i="21"/>
  <c r="W185" i="21"/>
  <c r="W189" i="21"/>
  <c r="W193" i="21"/>
  <c r="W197" i="21"/>
  <c r="W201" i="21"/>
  <c r="W205" i="21"/>
  <c r="W209" i="21"/>
  <c r="W213" i="21"/>
  <c r="W217" i="21"/>
  <c r="W221" i="21"/>
  <c r="W225" i="21"/>
  <c r="W229" i="21"/>
  <c r="W233" i="21"/>
  <c r="W237" i="21"/>
  <c r="W241" i="21"/>
  <c r="W245" i="21"/>
  <c r="W249" i="21"/>
  <c r="W253" i="21"/>
  <c r="W257" i="21"/>
  <c r="W261" i="21"/>
  <c r="W265" i="21"/>
  <c r="W269" i="21"/>
  <c r="W273" i="21"/>
  <c r="W277" i="21"/>
  <c r="W281" i="21"/>
  <c r="W285" i="21"/>
  <c r="W289" i="21"/>
  <c r="W293" i="21"/>
  <c r="W297" i="21"/>
  <c r="W301" i="21"/>
  <c r="W305" i="21"/>
  <c r="W309" i="21"/>
  <c r="W313" i="21"/>
  <c r="W317" i="21"/>
  <c r="W321" i="21"/>
  <c r="W325" i="21"/>
  <c r="W329" i="21"/>
  <c r="W333" i="21"/>
  <c r="W337" i="21"/>
  <c r="W341" i="21"/>
  <c r="W345" i="21"/>
  <c r="W349" i="21"/>
  <c r="W353" i="21"/>
  <c r="W357" i="21"/>
  <c r="W361" i="21"/>
  <c r="W402" i="21"/>
  <c r="W391" i="21"/>
  <c r="W381" i="21"/>
  <c r="W370" i="21"/>
  <c r="W358" i="21"/>
  <c r="W342" i="21"/>
  <c r="W326" i="21"/>
  <c r="W310" i="21"/>
  <c r="W294" i="21"/>
  <c r="W286" i="21"/>
  <c r="W270" i="21"/>
  <c r="W262" i="21"/>
  <c r="W246" i="21"/>
  <c r="W238" i="21"/>
  <c r="W230" i="21"/>
  <c r="W401" i="21"/>
  <c r="W395" i="21"/>
  <c r="W390" i="21"/>
  <c r="W385" i="21"/>
  <c r="W379" i="21"/>
  <c r="W374" i="21"/>
  <c r="W369" i="21"/>
  <c r="W363" i="21"/>
  <c r="W355" i="21"/>
  <c r="W347" i="21"/>
  <c r="W339" i="21"/>
  <c r="W331" i="21"/>
  <c r="W323" i="21"/>
  <c r="W315" i="21"/>
  <c r="W307" i="21"/>
  <c r="W299" i="21"/>
  <c r="W291" i="21"/>
  <c r="W283" i="21"/>
  <c r="W275" i="21"/>
  <c r="W267" i="21"/>
  <c r="W259" i="21"/>
  <c r="W251" i="21"/>
  <c r="W243" i="21"/>
  <c r="W235" i="21"/>
  <c r="W227" i="21"/>
  <c r="W219" i="21"/>
  <c r="W211" i="21"/>
  <c r="W203" i="21"/>
  <c r="W195" i="21"/>
  <c r="W187" i="21"/>
  <c r="W179" i="21"/>
  <c r="W171" i="21"/>
  <c r="W163" i="21"/>
  <c r="W155" i="21"/>
  <c r="W147" i="21"/>
  <c r="W139" i="21"/>
  <c r="W131" i="21"/>
  <c r="W123" i="21"/>
  <c r="W115" i="21"/>
  <c r="W107" i="21"/>
  <c r="W99" i="21"/>
  <c r="W91" i="21"/>
  <c r="W83" i="21"/>
  <c r="W75" i="21"/>
  <c r="W67" i="21"/>
  <c r="W59" i="21"/>
  <c r="W51" i="21"/>
  <c r="W43" i="21"/>
  <c r="W35" i="21"/>
  <c r="W27" i="21"/>
  <c r="W19" i="21"/>
  <c r="W11" i="21"/>
  <c r="X5" i="21"/>
  <c r="X13" i="21"/>
  <c r="X21" i="21"/>
  <c r="X29" i="21"/>
  <c r="X37" i="21"/>
  <c r="X48" i="21"/>
  <c r="X64" i="21"/>
  <c r="X85" i="21"/>
  <c r="X107" i="21"/>
  <c r="X128" i="21"/>
  <c r="X149" i="21"/>
  <c r="X171" i="21"/>
  <c r="X192" i="21"/>
  <c r="X213" i="21"/>
  <c r="X244" i="21"/>
  <c r="X276" i="21"/>
  <c r="X308" i="21"/>
  <c r="X340" i="21"/>
  <c r="W5" i="2" l="1"/>
  <c r="U5" i="2"/>
  <c r="Z27" i="22" l="1" a="1"/>
  <c r="Z27" i="22" s="1"/>
  <c r="U27" i="22" a="1"/>
  <c r="U27" i="22" s="1"/>
  <c r="P27" i="22" a="1"/>
  <c r="P27" i="22" s="1"/>
  <c r="P20" i="22" a="1"/>
  <c r="P20" i="22" s="1"/>
  <c r="P13" i="22" a="1"/>
  <c r="P13" i="22" s="1"/>
  <c r="Q8" i="22"/>
  <c r="P8" i="22"/>
  <c r="O8" i="22"/>
  <c r="O7" i="22"/>
  <c r="O6" i="22"/>
  <c r="AA30" i="22" l="1"/>
  <c r="AA28" i="22"/>
  <c r="Z30" i="22"/>
  <c r="Z28" i="22"/>
  <c r="AA31" i="22"/>
  <c r="AA29" i="22"/>
  <c r="AA27" i="22"/>
  <c r="Z31" i="22"/>
  <c r="Z29" i="22"/>
  <c r="V30" i="22"/>
  <c r="V28" i="22"/>
  <c r="U30" i="22"/>
  <c r="U28" i="22"/>
  <c r="V31" i="22"/>
  <c r="V29" i="22"/>
  <c r="V27" i="22"/>
  <c r="U31" i="22"/>
  <c r="U29" i="22"/>
  <c r="Q30" i="22"/>
  <c r="Q28" i="22"/>
  <c r="P30" i="22"/>
  <c r="P28" i="22"/>
  <c r="Q31" i="22"/>
  <c r="Q29" i="22"/>
  <c r="Q27" i="22"/>
  <c r="P31" i="22"/>
  <c r="P29" i="22"/>
  <c r="Q23" i="22"/>
  <c r="Q21" i="22"/>
  <c r="P23" i="22"/>
  <c r="P21" i="22"/>
  <c r="Q24" i="22"/>
  <c r="Q22" i="22"/>
  <c r="Q20" i="22"/>
  <c r="P24" i="22"/>
  <c r="P22" i="22"/>
  <c r="Q16" i="22"/>
  <c r="Q14" i="22"/>
  <c r="P16" i="22"/>
  <c r="P14" i="22"/>
  <c r="Q17" i="22"/>
  <c r="Q15" i="22"/>
  <c r="Q13" i="22"/>
  <c r="P17" i="22"/>
  <c r="P15" i="22"/>
  <c r="U13" i="22" l="1"/>
  <c r="Z33" i="22"/>
  <c r="P33" i="22"/>
  <c r="U20" i="22"/>
  <c r="U33" i="22"/>
  <c r="L404" i="21" l="1"/>
  <c r="K404" i="21"/>
  <c r="J404" i="21"/>
  <c r="AG9" i="21"/>
  <c r="R5" i="21"/>
  <c r="Q5" i="21"/>
  <c r="R4" i="21"/>
  <c r="Q4" i="21"/>
  <c r="R3" i="21"/>
  <c r="Q3" i="21"/>
  <c r="R11" i="21" l="1"/>
  <c r="AF70" i="21"/>
  <c r="AE74" i="21"/>
  <c r="AF4" i="21"/>
  <c r="T49" i="21"/>
  <c r="AB49" i="21" s="1"/>
  <c r="U20" i="21"/>
  <c r="AC20" i="21" s="1"/>
  <c r="AG49" i="21"/>
  <c r="V9" i="21"/>
  <c r="AD9" i="21" s="1"/>
  <c r="AG4" i="21"/>
  <c r="AF8" i="21"/>
  <c r="AG10" i="21"/>
  <c r="AG11" i="21"/>
  <c r="V44" i="21"/>
  <c r="AD44" i="21" s="1"/>
  <c r="AG8" i="21"/>
  <c r="AF7" i="21"/>
  <c r="AE4" i="21"/>
  <c r="AG5" i="21"/>
  <c r="AG6" i="21"/>
  <c r="AG7" i="21"/>
  <c r="AG12" i="21"/>
  <c r="T4" i="21"/>
  <c r="AB4" i="21" s="1"/>
  <c r="V5" i="21"/>
  <c r="AD5" i="21" s="1"/>
  <c r="V6" i="21"/>
  <c r="AD6" i="21" s="1"/>
  <c r="V7" i="21"/>
  <c r="AD7" i="21" s="1"/>
  <c r="T8" i="21"/>
  <c r="AB8" i="21" s="1"/>
  <c r="U10" i="21"/>
  <c r="AC10" i="21" s="1"/>
  <c r="U11" i="21"/>
  <c r="AC11" i="21" s="1"/>
  <c r="U12" i="21"/>
  <c r="AC12" i="21" s="1"/>
  <c r="AE13" i="21"/>
  <c r="AE14" i="21"/>
  <c r="AE15" i="21"/>
  <c r="AE16" i="21"/>
  <c r="AE17" i="21"/>
  <c r="AE18" i="21"/>
  <c r="AE19" i="21"/>
  <c r="AE20" i="21"/>
  <c r="V21" i="21"/>
  <c r="AD21" i="21" s="1"/>
  <c r="V22" i="21"/>
  <c r="AD22" i="21" s="1"/>
  <c r="V23" i="21"/>
  <c r="AD23" i="21" s="1"/>
  <c r="V24" i="21"/>
  <c r="AD24" i="21" s="1"/>
  <c r="V25" i="21"/>
  <c r="AD25" i="21" s="1"/>
  <c r="V26" i="21"/>
  <c r="AD26" i="21" s="1"/>
  <c r="V27" i="21"/>
  <c r="AD27" i="21" s="1"/>
  <c r="V28" i="21"/>
  <c r="AD28" i="21" s="1"/>
  <c r="V29" i="21"/>
  <c r="AD29" i="21" s="1"/>
  <c r="V30" i="21"/>
  <c r="AD30" i="21" s="1"/>
  <c r="V31" i="21"/>
  <c r="AD31" i="21" s="1"/>
  <c r="V32" i="21"/>
  <c r="AD32" i="21" s="1"/>
  <c r="V33" i="21"/>
  <c r="AD33" i="21" s="1"/>
  <c r="V34" i="21"/>
  <c r="AD34" i="21" s="1"/>
  <c r="V35" i="21"/>
  <c r="AD35" i="21" s="1"/>
  <c r="V36" i="21"/>
  <c r="AD36" i="21" s="1"/>
  <c r="V37" i="21"/>
  <c r="AD37" i="21" s="1"/>
  <c r="V38" i="21"/>
  <c r="AD38" i="21" s="1"/>
  <c r="V39" i="21"/>
  <c r="AD39" i="21" s="1"/>
  <c r="V40" i="21"/>
  <c r="AD40" i="21" s="1"/>
  <c r="V41" i="21"/>
  <c r="AD41" i="21" s="1"/>
  <c r="V42" i="21"/>
  <c r="AD42" i="21" s="1"/>
  <c r="V43" i="21"/>
  <c r="AD43" i="21" s="1"/>
  <c r="AF45" i="21"/>
  <c r="T46" i="21"/>
  <c r="AB46" i="21" s="1"/>
  <c r="AF47" i="21"/>
  <c r="T48" i="21"/>
  <c r="AB48" i="21" s="1"/>
  <c r="AF49" i="21"/>
  <c r="T50" i="21"/>
  <c r="AB50" i="21" s="1"/>
  <c r="AF52" i="21"/>
  <c r="AF54" i="21"/>
  <c r="AF56" i="21"/>
  <c r="AF58" i="21"/>
  <c r="AF60" i="21"/>
  <c r="AF62" i="21"/>
  <c r="AF64" i="21"/>
  <c r="AF66" i="21"/>
  <c r="AF68" i="21"/>
  <c r="AE72" i="21"/>
  <c r="U4" i="21"/>
  <c r="AC4" i="21" s="1"/>
  <c r="V396" i="21"/>
  <c r="AD396" i="21" s="1"/>
  <c r="V395" i="21"/>
  <c r="AD395" i="21" s="1"/>
  <c r="V394" i="21"/>
  <c r="AD394" i="21" s="1"/>
  <c r="V393" i="21"/>
  <c r="AD393" i="21" s="1"/>
  <c r="V392" i="21"/>
  <c r="AD392" i="21" s="1"/>
  <c r="V391" i="21"/>
  <c r="AD391" i="21" s="1"/>
  <c r="V390" i="21"/>
  <c r="AD390" i="21" s="1"/>
  <c r="V389" i="21"/>
  <c r="AD389" i="21" s="1"/>
  <c r="V388" i="21"/>
  <c r="AD388" i="21" s="1"/>
  <c r="V387" i="21"/>
  <c r="AD387" i="21" s="1"/>
  <c r="V386" i="21"/>
  <c r="AD386" i="21" s="1"/>
  <c r="V385" i="21"/>
  <c r="AD385" i="21" s="1"/>
  <c r="V384" i="21"/>
  <c r="AD384" i="21" s="1"/>
  <c r="V383" i="21"/>
  <c r="AD383" i="21" s="1"/>
  <c r="V398" i="21"/>
  <c r="AD398" i="21" s="1"/>
  <c r="V397" i="21"/>
  <c r="AD397" i="21" s="1"/>
  <c r="V400" i="21"/>
  <c r="AD400" i="21" s="1"/>
  <c r="V382" i="21"/>
  <c r="AD382" i="21" s="1"/>
  <c r="V378" i="21"/>
  <c r="AD378" i="21" s="1"/>
  <c r="V377" i="21"/>
  <c r="AD377" i="21" s="1"/>
  <c r="V376" i="21"/>
  <c r="AD376" i="21" s="1"/>
  <c r="V375" i="21"/>
  <c r="AD375" i="21" s="1"/>
  <c r="V347" i="21"/>
  <c r="AD347" i="21" s="1"/>
  <c r="V346" i="21"/>
  <c r="AD346" i="21" s="1"/>
  <c r="V403" i="21"/>
  <c r="AD403" i="21" s="1"/>
  <c r="V399" i="21"/>
  <c r="AD399" i="21" s="1"/>
  <c r="V381" i="21"/>
  <c r="AD381" i="21" s="1"/>
  <c r="V374" i="21"/>
  <c r="AD374" i="21" s="1"/>
  <c r="V373" i="21"/>
  <c r="AD373" i="21" s="1"/>
  <c r="V372" i="21"/>
  <c r="AD372" i="21" s="1"/>
  <c r="V371" i="21"/>
  <c r="AD371" i="21" s="1"/>
  <c r="V370" i="21"/>
  <c r="AD370" i="21" s="1"/>
  <c r="V369" i="21"/>
  <c r="AD369" i="21" s="1"/>
  <c r="V368" i="21"/>
  <c r="AD368" i="21" s="1"/>
  <c r="V367" i="21"/>
  <c r="AD367" i="21" s="1"/>
  <c r="V366" i="21"/>
  <c r="AD366" i="21" s="1"/>
  <c r="V402" i="21"/>
  <c r="AD402" i="21" s="1"/>
  <c r="V380" i="21"/>
  <c r="AD380" i="21" s="1"/>
  <c r="V401" i="21"/>
  <c r="AD401" i="21" s="1"/>
  <c r="V379" i="21"/>
  <c r="AD379" i="21" s="1"/>
  <c r="V363" i="21"/>
  <c r="AD363" i="21" s="1"/>
  <c r="V359" i="21"/>
  <c r="AD359" i="21" s="1"/>
  <c r="V356" i="21"/>
  <c r="AD356" i="21" s="1"/>
  <c r="V362" i="21"/>
  <c r="AD362" i="21" s="1"/>
  <c r="V358" i="21"/>
  <c r="AD358" i="21" s="1"/>
  <c r="V355" i="21"/>
  <c r="AD355" i="21" s="1"/>
  <c r="V354" i="21"/>
  <c r="AD354" i="21" s="1"/>
  <c r="V353" i="21"/>
  <c r="AD353" i="21" s="1"/>
  <c r="V352" i="21"/>
  <c r="AD352" i="21" s="1"/>
  <c r="V351" i="21"/>
  <c r="AD351" i="21" s="1"/>
  <c r="V350" i="21"/>
  <c r="AD350" i="21" s="1"/>
  <c r="V349" i="21"/>
  <c r="AD349" i="21" s="1"/>
  <c r="V348" i="21"/>
  <c r="AD348" i="21" s="1"/>
  <c r="V345" i="21"/>
  <c r="AD345" i="21" s="1"/>
  <c r="V365" i="21"/>
  <c r="AD365" i="21" s="1"/>
  <c r="V361" i="21"/>
  <c r="AD361" i="21" s="1"/>
  <c r="V357" i="21"/>
  <c r="AD357" i="21" s="1"/>
  <c r="V344" i="21"/>
  <c r="AD344" i="21" s="1"/>
  <c r="V342" i="21"/>
  <c r="AD342" i="21" s="1"/>
  <c r="V341" i="21"/>
  <c r="AD341" i="21" s="1"/>
  <c r="V340" i="21"/>
  <c r="AD340" i="21" s="1"/>
  <c r="V339" i="21"/>
  <c r="AD339" i="21" s="1"/>
  <c r="V338" i="21"/>
  <c r="AD338" i="21" s="1"/>
  <c r="V337" i="21"/>
  <c r="AD337" i="21" s="1"/>
  <c r="V336" i="21"/>
  <c r="AD336" i="21" s="1"/>
  <c r="V335" i="21"/>
  <c r="AD335" i="21" s="1"/>
  <c r="V334" i="21"/>
  <c r="AD334" i="21" s="1"/>
  <c r="V333" i="21"/>
  <c r="AD333" i="21" s="1"/>
  <c r="V332" i="21"/>
  <c r="AD332" i="21" s="1"/>
  <c r="V331" i="21"/>
  <c r="AD331" i="21" s="1"/>
  <c r="V330" i="21"/>
  <c r="AD330" i="21" s="1"/>
  <c r="V329" i="21"/>
  <c r="AD329" i="21" s="1"/>
  <c r="V328" i="21"/>
  <c r="AD328" i="21" s="1"/>
  <c r="V327" i="21"/>
  <c r="AD327" i="21" s="1"/>
  <c r="V326" i="21"/>
  <c r="AD326" i="21" s="1"/>
  <c r="V312" i="21"/>
  <c r="AD312" i="21" s="1"/>
  <c r="V311" i="21"/>
  <c r="AD311" i="21" s="1"/>
  <c r="V305" i="21"/>
  <c r="AD305" i="21" s="1"/>
  <c r="V325" i="21"/>
  <c r="AD325" i="21" s="1"/>
  <c r="V324" i="21"/>
  <c r="AD324" i="21" s="1"/>
  <c r="V323" i="21"/>
  <c r="AD323" i="21" s="1"/>
  <c r="V322" i="21"/>
  <c r="AD322" i="21" s="1"/>
  <c r="V321" i="21"/>
  <c r="AD321" i="21" s="1"/>
  <c r="V320" i="21"/>
  <c r="AD320" i="21" s="1"/>
  <c r="V319" i="21"/>
  <c r="AD319" i="21" s="1"/>
  <c r="V360" i="21"/>
  <c r="AD360" i="21" s="1"/>
  <c r="V343" i="21"/>
  <c r="AD343" i="21" s="1"/>
  <c r="V318" i="21"/>
  <c r="AD318" i="21" s="1"/>
  <c r="V317" i="21"/>
  <c r="AD317" i="21" s="1"/>
  <c r="V309" i="21"/>
  <c r="AD309" i="21" s="1"/>
  <c r="V364" i="21"/>
  <c r="AD364" i="21" s="1"/>
  <c r="V313" i="21"/>
  <c r="AD313" i="21" s="1"/>
  <c r="V304" i="21"/>
  <c r="AD304" i="21" s="1"/>
  <c r="V303" i="21"/>
  <c r="AD303" i="21" s="1"/>
  <c r="V302" i="21"/>
  <c r="AD302" i="21" s="1"/>
  <c r="V301" i="21"/>
  <c r="AD301" i="21" s="1"/>
  <c r="V300" i="21"/>
  <c r="AD300" i="21" s="1"/>
  <c r="V299" i="21"/>
  <c r="AD299" i="21" s="1"/>
  <c r="V298" i="21"/>
  <c r="AD298" i="21" s="1"/>
  <c r="V288" i="21"/>
  <c r="AD288" i="21" s="1"/>
  <c r="V287" i="21"/>
  <c r="AD287" i="21" s="1"/>
  <c r="V286" i="21"/>
  <c r="AD286" i="21" s="1"/>
  <c r="V285" i="21"/>
  <c r="AD285" i="21" s="1"/>
  <c r="V284" i="21"/>
  <c r="AD284" i="21" s="1"/>
  <c r="V316" i="21"/>
  <c r="AD316" i="21" s="1"/>
  <c r="V310" i="21"/>
  <c r="AD310" i="21" s="1"/>
  <c r="V308" i="21"/>
  <c r="AD308" i="21" s="1"/>
  <c r="V297" i="21"/>
  <c r="AD297" i="21" s="1"/>
  <c r="V315" i="21"/>
  <c r="AD315" i="21" s="1"/>
  <c r="V307" i="21"/>
  <c r="AD307" i="21" s="1"/>
  <c r="V306" i="21"/>
  <c r="AD306" i="21" s="1"/>
  <c r="V296" i="21"/>
  <c r="AD296" i="21" s="1"/>
  <c r="V295" i="21"/>
  <c r="AD295" i="21" s="1"/>
  <c r="V314" i="21"/>
  <c r="AD314" i="21" s="1"/>
  <c r="V283" i="21"/>
  <c r="AD283" i="21" s="1"/>
  <c r="V279" i="21"/>
  <c r="AD279" i="21" s="1"/>
  <c r="V275" i="21"/>
  <c r="AD275" i="21" s="1"/>
  <c r="V271" i="21"/>
  <c r="AD271" i="21" s="1"/>
  <c r="V267" i="21"/>
  <c r="AD267" i="21" s="1"/>
  <c r="V291" i="21"/>
  <c r="AD291" i="21" s="1"/>
  <c r="V290" i="21"/>
  <c r="AD290" i="21" s="1"/>
  <c r="V289" i="21"/>
  <c r="AD289" i="21" s="1"/>
  <c r="V282" i="21"/>
  <c r="AD282" i="21" s="1"/>
  <c r="V278" i="21"/>
  <c r="AD278" i="21" s="1"/>
  <c r="V274" i="21"/>
  <c r="AD274" i="21" s="1"/>
  <c r="V270" i="21"/>
  <c r="AD270" i="21" s="1"/>
  <c r="V266" i="21"/>
  <c r="AD266" i="21" s="1"/>
  <c r="V263" i="21"/>
  <c r="AD263" i="21" s="1"/>
  <c r="V262" i="21"/>
  <c r="AD262" i="21" s="1"/>
  <c r="V261" i="21"/>
  <c r="AD261" i="21" s="1"/>
  <c r="V260" i="21"/>
  <c r="AD260" i="21" s="1"/>
  <c r="V259" i="21"/>
  <c r="AD259" i="21" s="1"/>
  <c r="V258" i="21"/>
  <c r="AD258" i="21" s="1"/>
  <c r="V257" i="21"/>
  <c r="AD257" i="21" s="1"/>
  <c r="V256" i="21"/>
  <c r="AD256" i="21" s="1"/>
  <c r="V255" i="21"/>
  <c r="AD255" i="21" s="1"/>
  <c r="V254" i="21"/>
  <c r="AD254" i="21" s="1"/>
  <c r="V253" i="21"/>
  <c r="AD253" i="21" s="1"/>
  <c r="V252" i="21"/>
  <c r="AD252" i="21" s="1"/>
  <c r="V251" i="21"/>
  <c r="AD251" i="21" s="1"/>
  <c r="V250" i="21"/>
  <c r="AD250" i="21" s="1"/>
  <c r="V249" i="21"/>
  <c r="AD249" i="21" s="1"/>
  <c r="V248" i="21"/>
  <c r="AD248" i="21" s="1"/>
  <c r="V247" i="21"/>
  <c r="AD247" i="21" s="1"/>
  <c r="V294" i="21"/>
  <c r="AD294" i="21" s="1"/>
  <c r="V292" i="21"/>
  <c r="AD292" i="21" s="1"/>
  <c r="V281" i="21"/>
  <c r="AD281" i="21" s="1"/>
  <c r="V277" i="21"/>
  <c r="AD277" i="21" s="1"/>
  <c r="V273" i="21"/>
  <c r="AD273" i="21" s="1"/>
  <c r="V269" i="21"/>
  <c r="AD269" i="21" s="1"/>
  <c r="V265" i="21"/>
  <c r="AD265" i="21" s="1"/>
  <c r="V245" i="21"/>
  <c r="AD245" i="21" s="1"/>
  <c r="V244" i="21"/>
  <c r="AD244" i="21" s="1"/>
  <c r="V243" i="21"/>
  <c r="AD243" i="21" s="1"/>
  <c r="V242" i="21"/>
  <c r="AD242" i="21" s="1"/>
  <c r="V241" i="21"/>
  <c r="AD241" i="21" s="1"/>
  <c r="V240" i="21"/>
  <c r="AD240" i="21" s="1"/>
  <c r="V239" i="21"/>
  <c r="AD239" i="21" s="1"/>
  <c r="V238" i="21"/>
  <c r="AD238" i="21" s="1"/>
  <c r="V293" i="21"/>
  <c r="AD293" i="21" s="1"/>
  <c r="V280" i="21"/>
  <c r="AD280" i="21" s="1"/>
  <c r="V276" i="21"/>
  <c r="AD276" i="21" s="1"/>
  <c r="V272" i="21"/>
  <c r="AD272" i="21" s="1"/>
  <c r="V268" i="21"/>
  <c r="AD268" i="21" s="1"/>
  <c r="V264" i="21"/>
  <c r="AD264" i="21" s="1"/>
  <c r="V246" i="21"/>
  <c r="AD246" i="21" s="1"/>
  <c r="V236" i="21"/>
  <c r="AD236" i="21" s="1"/>
  <c r="V200" i="21"/>
  <c r="AD200" i="21" s="1"/>
  <c r="V199" i="21"/>
  <c r="AD199" i="21" s="1"/>
  <c r="V198" i="21"/>
  <c r="AD198" i="21" s="1"/>
  <c r="V197" i="21"/>
  <c r="AD197" i="21" s="1"/>
  <c r="V196" i="21"/>
  <c r="AD196" i="21" s="1"/>
  <c r="V235" i="21"/>
  <c r="AD235" i="21" s="1"/>
  <c r="V232" i="21"/>
  <c r="AD232" i="21" s="1"/>
  <c r="V234" i="21"/>
  <c r="AD234" i="21" s="1"/>
  <c r="V231" i="21"/>
  <c r="AD231" i="21" s="1"/>
  <c r="V230" i="21"/>
  <c r="AD230" i="21" s="1"/>
  <c r="V229" i="21"/>
  <c r="AD229" i="21" s="1"/>
  <c r="V228" i="21"/>
  <c r="AD228" i="21" s="1"/>
  <c r="V227" i="21"/>
  <c r="AD227" i="21" s="1"/>
  <c r="V237" i="21"/>
  <c r="AD237" i="21" s="1"/>
  <c r="V233" i="21"/>
  <c r="AD233" i="21" s="1"/>
  <c r="V226" i="21"/>
  <c r="AD226" i="21" s="1"/>
  <c r="V222" i="21"/>
  <c r="AD222" i="21" s="1"/>
  <c r="V218" i="21"/>
  <c r="AD218" i="21" s="1"/>
  <c r="V214" i="21"/>
  <c r="AD214" i="21" s="1"/>
  <c r="V210" i="21"/>
  <c r="AD210" i="21" s="1"/>
  <c r="V206" i="21"/>
  <c r="AD206" i="21" s="1"/>
  <c r="V202" i="21"/>
  <c r="AD202" i="21" s="1"/>
  <c r="V195" i="21"/>
  <c r="AD195" i="21" s="1"/>
  <c r="V194" i="21"/>
  <c r="AD194" i="21" s="1"/>
  <c r="V193" i="21"/>
  <c r="AD193" i="21" s="1"/>
  <c r="V192" i="21"/>
  <c r="AD192" i="21" s="1"/>
  <c r="V191" i="21"/>
  <c r="AD191" i="21" s="1"/>
  <c r="V190" i="21"/>
  <c r="AD190" i="21" s="1"/>
  <c r="V189" i="21"/>
  <c r="AD189" i="21" s="1"/>
  <c r="V188" i="21"/>
  <c r="AD188" i="21" s="1"/>
  <c r="V187" i="21"/>
  <c r="AD187" i="21" s="1"/>
  <c r="V144" i="21"/>
  <c r="AD144" i="21" s="1"/>
  <c r="V143" i="21"/>
  <c r="AD143" i="21" s="1"/>
  <c r="V142" i="21"/>
  <c r="AD142" i="21" s="1"/>
  <c r="V141" i="21"/>
  <c r="AD141" i="21" s="1"/>
  <c r="V140" i="21"/>
  <c r="AD140" i="21" s="1"/>
  <c r="V139" i="21"/>
  <c r="AD139" i="21" s="1"/>
  <c r="V138" i="21"/>
  <c r="AD138" i="21" s="1"/>
  <c r="V137" i="21"/>
  <c r="AD137" i="21" s="1"/>
  <c r="V225" i="21"/>
  <c r="AD225" i="21" s="1"/>
  <c r="V221" i="21"/>
  <c r="AD221" i="21" s="1"/>
  <c r="V217" i="21"/>
  <c r="AD217" i="21" s="1"/>
  <c r="V213" i="21"/>
  <c r="AD213" i="21" s="1"/>
  <c r="V209" i="21"/>
  <c r="AD209" i="21" s="1"/>
  <c r="V205" i="21"/>
  <c r="AD205" i="21" s="1"/>
  <c r="V201" i="21"/>
  <c r="AD201" i="21" s="1"/>
  <c r="V186" i="21"/>
  <c r="AD186" i="21" s="1"/>
  <c r="V185" i="21"/>
  <c r="AD185" i="21" s="1"/>
  <c r="V136" i="21"/>
  <c r="AD136" i="21" s="1"/>
  <c r="V135" i="21"/>
  <c r="AD135" i="21" s="1"/>
  <c r="V224" i="21"/>
  <c r="AD224" i="21" s="1"/>
  <c r="V220" i="21"/>
  <c r="AD220" i="21" s="1"/>
  <c r="V216" i="21"/>
  <c r="AD216" i="21" s="1"/>
  <c r="V212" i="21"/>
  <c r="AD212" i="21" s="1"/>
  <c r="V208" i="21"/>
  <c r="AD208" i="21" s="1"/>
  <c r="V204" i="21"/>
  <c r="AD204" i="21" s="1"/>
  <c r="V184" i="21"/>
  <c r="AD184" i="21" s="1"/>
  <c r="V183" i="21"/>
  <c r="AD183" i="21" s="1"/>
  <c r="V182" i="21"/>
  <c r="AD182" i="21" s="1"/>
  <c r="V181" i="21"/>
  <c r="AD181" i="21" s="1"/>
  <c r="V180" i="21"/>
  <c r="AD180" i="21" s="1"/>
  <c r="V179" i="21"/>
  <c r="AD179" i="21" s="1"/>
  <c r="V178" i="21"/>
  <c r="AD178" i="21" s="1"/>
  <c r="V177" i="21"/>
  <c r="AD177" i="21" s="1"/>
  <c r="V176" i="21"/>
  <c r="AD176" i="21" s="1"/>
  <c r="V175" i="21"/>
  <c r="AD175" i="21" s="1"/>
  <c r="V174" i="21"/>
  <c r="AD174" i="21" s="1"/>
  <c r="V173" i="21"/>
  <c r="AD173" i="21" s="1"/>
  <c r="V172" i="21"/>
  <c r="AD172" i="21" s="1"/>
  <c r="V171" i="21"/>
  <c r="AD171" i="21" s="1"/>
  <c r="V170" i="21"/>
  <c r="AD170" i="21" s="1"/>
  <c r="V169" i="21"/>
  <c r="AD169" i="21" s="1"/>
  <c r="V168" i="21"/>
  <c r="AD168" i="21" s="1"/>
  <c r="V167" i="21"/>
  <c r="AD167" i="21" s="1"/>
  <c r="V166" i="21"/>
  <c r="AD166" i="21" s="1"/>
  <c r="V165" i="21"/>
  <c r="AD165" i="21" s="1"/>
  <c r="V164" i="21"/>
  <c r="AD164" i="21" s="1"/>
  <c r="V163" i="21"/>
  <c r="AD163" i="21" s="1"/>
  <c r="V162" i="21"/>
  <c r="AD162" i="21" s="1"/>
  <c r="V161" i="21"/>
  <c r="AD161" i="21" s="1"/>
  <c r="V160" i="21"/>
  <c r="AD160" i="21" s="1"/>
  <c r="V159" i="21"/>
  <c r="AD159" i="21" s="1"/>
  <c r="V158" i="21"/>
  <c r="AD158" i="21" s="1"/>
  <c r="V157" i="21"/>
  <c r="AD157" i="21" s="1"/>
  <c r="V156" i="21"/>
  <c r="AD156" i="21" s="1"/>
  <c r="V155" i="21"/>
  <c r="AD155" i="21" s="1"/>
  <c r="V154" i="21"/>
  <c r="AD154" i="21" s="1"/>
  <c r="V223" i="21"/>
  <c r="AD223" i="21" s="1"/>
  <c r="V219" i="21"/>
  <c r="AD219" i="21" s="1"/>
  <c r="V215" i="21"/>
  <c r="AD215" i="21" s="1"/>
  <c r="V211" i="21"/>
  <c r="AD211" i="21" s="1"/>
  <c r="V207" i="21"/>
  <c r="AD207" i="21" s="1"/>
  <c r="V203" i="21"/>
  <c r="AD203" i="21" s="1"/>
  <c r="V152" i="21"/>
  <c r="AD152" i="21" s="1"/>
  <c r="V148" i="21"/>
  <c r="AD148" i="21" s="1"/>
  <c r="V134" i="21"/>
  <c r="AD134" i="21" s="1"/>
  <c r="V133" i="21"/>
  <c r="AD133" i="21" s="1"/>
  <c r="V132" i="21"/>
  <c r="AD132" i="21" s="1"/>
  <c r="V131" i="21"/>
  <c r="AD131" i="21" s="1"/>
  <c r="V130" i="21"/>
  <c r="AD130" i="21" s="1"/>
  <c r="V129" i="21"/>
  <c r="AD129" i="21" s="1"/>
  <c r="V128" i="21"/>
  <c r="AD128" i="21" s="1"/>
  <c r="V115" i="21"/>
  <c r="AD115" i="21" s="1"/>
  <c r="V114" i="21"/>
  <c r="AD114" i="21" s="1"/>
  <c r="V113" i="21"/>
  <c r="AD113" i="21" s="1"/>
  <c r="V112" i="21"/>
  <c r="AD112" i="21" s="1"/>
  <c r="V111" i="21"/>
  <c r="AD111" i="21" s="1"/>
  <c r="V110" i="21"/>
  <c r="AD110" i="21" s="1"/>
  <c r="V109" i="21"/>
  <c r="AD109" i="21" s="1"/>
  <c r="V108" i="21"/>
  <c r="AD108" i="21" s="1"/>
  <c r="V107" i="21"/>
  <c r="AD107" i="21" s="1"/>
  <c r="V106" i="21"/>
  <c r="AD106" i="21" s="1"/>
  <c r="V83" i="21"/>
  <c r="AD83" i="21" s="1"/>
  <c r="V82" i="21"/>
  <c r="AD82" i="21" s="1"/>
  <c r="V81" i="21"/>
  <c r="AD81" i="21" s="1"/>
  <c r="V80" i="21"/>
  <c r="AD80" i="21" s="1"/>
  <c r="V79" i="21"/>
  <c r="AD79" i="21" s="1"/>
  <c r="V78" i="21"/>
  <c r="AD78" i="21" s="1"/>
  <c r="V77" i="21"/>
  <c r="AD77" i="21" s="1"/>
  <c r="V76" i="21"/>
  <c r="AD76" i="21" s="1"/>
  <c r="V75" i="21"/>
  <c r="AD75" i="21" s="1"/>
  <c r="V74" i="21"/>
  <c r="AD74" i="21" s="1"/>
  <c r="V73" i="21"/>
  <c r="AD73" i="21" s="1"/>
  <c r="V72" i="21"/>
  <c r="AD72" i="21" s="1"/>
  <c r="V151" i="21"/>
  <c r="AD151" i="21" s="1"/>
  <c r="V147" i="21"/>
  <c r="AD147" i="21" s="1"/>
  <c r="V105" i="21"/>
  <c r="AD105" i="21" s="1"/>
  <c r="V104" i="21"/>
  <c r="AD104" i="21" s="1"/>
  <c r="V103" i="21"/>
  <c r="AD103" i="21" s="1"/>
  <c r="V102" i="21"/>
  <c r="AD102" i="21" s="1"/>
  <c r="V101" i="21"/>
  <c r="AD101" i="21" s="1"/>
  <c r="V100" i="21"/>
  <c r="AD100" i="21" s="1"/>
  <c r="V99" i="21"/>
  <c r="AD99" i="21" s="1"/>
  <c r="V98" i="21"/>
  <c r="AD98" i="21" s="1"/>
  <c r="V97" i="21"/>
  <c r="AD97" i="21" s="1"/>
  <c r="V96" i="21"/>
  <c r="AD96" i="21" s="1"/>
  <c r="V71" i="21"/>
  <c r="AD71" i="21" s="1"/>
  <c r="V70" i="21"/>
  <c r="AD70" i="21" s="1"/>
  <c r="V69" i="21"/>
  <c r="AD69" i="21" s="1"/>
  <c r="V68" i="21"/>
  <c r="AD68" i="21" s="1"/>
  <c r="V67" i="21"/>
  <c r="AD67" i="21" s="1"/>
  <c r="V66" i="21"/>
  <c r="AD66" i="21" s="1"/>
  <c r="V65" i="21"/>
  <c r="AD65" i="21" s="1"/>
  <c r="V64" i="21"/>
  <c r="AD64" i="21" s="1"/>
  <c r="V63" i="21"/>
  <c r="AD63" i="21" s="1"/>
  <c r="V62" i="21"/>
  <c r="AD62" i="21" s="1"/>
  <c r="V61" i="21"/>
  <c r="AD61" i="21" s="1"/>
  <c r="V60" i="21"/>
  <c r="AD60" i="21" s="1"/>
  <c r="V59" i="21"/>
  <c r="AD59" i="21" s="1"/>
  <c r="V58" i="21"/>
  <c r="AD58" i="21" s="1"/>
  <c r="V57" i="21"/>
  <c r="AD57" i="21" s="1"/>
  <c r="V56" i="21"/>
  <c r="AD56" i="21" s="1"/>
  <c r="V55" i="21"/>
  <c r="AD55" i="21" s="1"/>
  <c r="V54" i="21"/>
  <c r="AD54" i="21" s="1"/>
  <c r="V53" i="21"/>
  <c r="AD53" i="21" s="1"/>
  <c r="V52" i="21"/>
  <c r="AD52" i="21" s="1"/>
  <c r="V51" i="21"/>
  <c r="AD51" i="21" s="1"/>
  <c r="V50" i="21"/>
  <c r="AD50" i="21" s="1"/>
  <c r="V49" i="21"/>
  <c r="AD49" i="21" s="1"/>
  <c r="V48" i="21"/>
  <c r="AD48" i="21" s="1"/>
  <c r="V47" i="21"/>
  <c r="AD47" i="21" s="1"/>
  <c r="V46" i="21"/>
  <c r="AD46" i="21" s="1"/>
  <c r="V45" i="21"/>
  <c r="AD45" i="21" s="1"/>
  <c r="V150" i="21"/>
  <c r="AD150" i="21" s="1"/>
  <c r="V146" i="21"/>
  <c r="AD146" i="21" s="1"/>
  <c r="V95" i="21"/>
  <c r="AD95" i="21" s="1"/>
  <c r="V94" i="21"/>
  <c r="AD94" i="21" s="1"/>
  <c r="V93" i="21"/>
  <c r="AD93" i="21" s="1"/>
  <c r="V92" i="21"/>
  <c r="AD92" i="21" s="1"/>
  <c r="V91" i="21"/>
  <c r="AD91" i="21" s="1"/>
  <c r="V153" i="21"/>
  <c r="AD153" i="21" s="1"/>
  <c r="V149" i="21"/>
  <c r="AD149" i="21" s="1"/>
  <c r="V145" i="21"/>
  <c r="AD145" i="21" s="1"/>
  <c r="V127" i="21"/>
  <c r="AD127" i="21" s="1"/>
  <c r="V126" i="21"/>
  <c r="AD126" i="21" s="1"/>
  <c r="V125" i="21"/>
  <c r="AD125" i="21" s="1"/>
  <c r="V124" i="21"/>
  <c r="AD124" i="21" s="1"/>
  <c r="V123" i="21"/>
  <c r="AD123" i="21" s="1"/>
  <c r="V122" i="21"/>
  <c r="AD122" i="21" s="1"/>
  <c r="V121" i="21"/>
  <c r="AD121" i="21" s="1"/>
  <c r="V120" i="21"/>
  <c r="AD120" i="21" s="1"/>
  <c r="V119" i="21"/>
  <c r="AD119" i="21" s="1"/>
  <c r="V118" i="21"/>
  <c r="AD118" i="21" s="1"/>
  <c r="V117" i="21"/>
  <c r="AD117" i="21" s="1"/>
  <c r="V116" i="21"/>
  <c r="AD116" i="21" s="1"/>
  <c r="V90" i="21"/>
  <c r="AD90" i="21" s="1"/>
  <c r="V89" i="21"/>
  <c r="AD89" i="21" s="1"/>
  <c r="V88" i="21"/>
  <c r="AD88" i="21" s="1"/>
  <c r="V87" i="21"/>
  <c r="AD87" i="21" s="1"/>
  <c r="V86" i="21"/>
  <c r="AD86" i="21" s="1"/>
  <c r="V85" i="21"/>
  <c r="AD85" i="21" s="1"/>
  <c r="V84" i="21"/>
  <c r="AD84" i="21" s="1"/>
  <c r="AE5" i="21"/>
  <c r="AE6" i="21"/>
  <c r="AE7" i="21"/>
  <c r="U8" i="21"/>
  <c r="AC8" i="21" s="1"/>
  <c r="AF403" i="21"/>
  <c r="AF402" i="21"/>
  <c r="AF401" i="21"/>
  <c r="AF400" i="21"/>
  <c r="AF399" i="21"/>
  <c r="AF398" i="21"/>
  <c r="AF397" i="21"/>
  <c r="AF392" i="21"/>
  <c r="AF388" i="21"/>
  <c r="AF384" i="21"/>
  <c r="AF381" i="21"/>
  <c r="AF356" i="21"/>
  <c r="AF344" i="21"/>
  <c r="AF343" i="21"/>
  <c r="AF342" i="21"/>
  <c r="AF341" i="21"/>
  <c r="AF340" i="21"/>
  <c r="AF395" i="21"/>
  <c r="AF391" i="21"/>
  <c r="AF387" i="21"/>
  <c r="AF383" i="21"/>
  <c r="AF380" i="21"/>
  <c r="AF396" i="21"/>
  <c r="AF394" i="21"/>
  <c r="AF390" i="21"/>
  <c r="AF386" i="21"/>
  <c r="AF389" i="21"/>
  <c r="AF375" i="21"/>
  <c r="AF362" i="21"/>
  <c r="AF358" i="21"/>
  <c r="AF345" i="21"/>
  <c r="AF393" i="21"/>
  <c r="AF373" i="21"/>
  <c r="AF371" i="21"/>
  <c r="AF369" i="21"/>
  <c r="AF367" i="21"/>
  <c r="AF365" i="21"/>
  <c r="AF361" i="21"/>
  <c r="AF357" i="21"/>
  <c r="AF347" i="21"/>
  <c r="AF378" i="21"/>
  <c r="AF377" i="21"/>
  <c r="AF364" i="21"/>
  <c r="AF360" i="21"/>
  <c r="AF346" i="21"/>
  <c r="AF318" i="21"/>
  <c r="AF317" i="21"/>
  <c r="AF309" i="21"/>
  <c r="AF308" i="21"/>
  <c r="AF385" i="21"/>
  <c r="AF382" i="21"/>
  <c r="AF316" i="21"/>
  <c r="AF315" i="21"/>
  <c r="AF314" i="21"/>
  <c r="AF313" i="21"/>
  <c r="AF379" i="21"/>
  <c r="AF376" i="21"/>
  <c r="AF374" i="21"/>
  <c r="AF372" i="21"/>
  <c r="AF370" i="21"/>
  <c r="AF368" i="21"/>
  <c r="AF366" i="21"/>
  <c r="AF359" i="21"/>
  <c r="AF355" i="21"/>
  <c r="AF354" i="21"/>
  <c r="AF353" i="21"/>
  <c r="AF352" i="21"/>
  <c r="AF351" i="21"/>
  <c r="AF350" i="21"/>
  <c r="AF349" i="21"/>
  <c r="AF348" i="21"/>
  <c r="AF339" i="21"/>
  <c r="AF338" i="21"/>
  <c r="AF337" i="21"/>
  <c r="AF336" i="21"/>
  <c r="AF335" i="21"/>
  <c r="AF334" i="21"/>
  <c r="AF333" i="21"/>
  <c r="AF332" i="21"/>
  <c r="AF331" i="21"/>
  <c r="AF330" i="21"/>
  <c r="AF329" i="21"/>
  <c r="AF328" i="21"/>
  <c r="AF327" i="21"/>
  <c r="AF326" i="21"/>
  <c r="AF312" i="21"/>
  <c r="AF311" i="21"/>
  <c r="AF363" i="21"/>
  <c r="AF310" i="21"/>
  <c r="AF307" i="21"/>
  <c r="AF306" i="21"/>
  <c r="AF296" i="21"/>
  <c r="AF295" i="21"/>
  <c r="AF325" i="21"/>
  <c r="AF323" i="21"/>
  <c r="AF321" i="21"/>
  <c r="AF319" i="21"/>
  <c r="AF294" i="21"/>
  <c r="AF293" i="21"/>
  <c r="AF305" i="21"/>
  <c r="AF304" i="21"/>
  <c r="AF303" i="21"/>
  <c r="AF302" i="21"/>
  <c r="AF301" i="21"/>
  <c r="AF300" i="21"/>
  <c r="AF299" i="21"/>
  <c r="AF298" i="21"/>
  <c r="AF324" i="21"/>
  <c r="AF322" i="21"/>
  <c r="AF320" i="21"/>
  <c r="AF285" i="21"/>
  <c r="AF282" i="21"/>
  <c r="AF278" i="21"/>
  <c r="AF274" i="21"/>
  <c r="AF270" i="21"/>
  <c r="AF266" i="21"/>
  <c r="AF245" i="21"/>
  <c r="AF244" i="21"/>
  <c r="AF243" i="21"/>
  <c r="AF242" i="21"/>
  <c r="AF241" i="21"/>
  <c r="AF240" i="21"/>
  <c r="AF239" i="21"/>
  <c r="AF238" i="21"/>
  <c r="AF292" i="21"/>
  <c r="AF288" i="21"/>
  <c r="AF284" i="21"/>
  <c r="AF281" i="21"/>
  <c r="AF277" i="21"/>
  <c r="AF273" i="21"/>
  <c r="AF269" i="21"/>
  <c r="AF265" i="21"/>
  <c r="AF297" i="21"/>
  <c r="AF287" i="21"/>
  <c r="AF280" i="21"/>
  <c r="AF276" i="21"/>
  <c r="AF272" i="21"/>
  <c r="AF268" i="21"/>
  <c r="AF264" i="21"/>
  <c r="AF291" i="21"/>
  <c r="AF290" i="21"/>
  <c r="AF289" i="21"/>
  <c r="AF286" i="21"/>
  <c r="AF283" i="21"/>
  <c r="AF279" i="21"/>
  <c r="AF275" i="21"/>
  <c r="AF271" i="21"/>
  <c r="AF267" i="21"/>
  <c r="AF263" i="21"/>
  <c r="AF261" i="21"/>
  <c r="AF259" i="21"/>
  <c r="AF257" i="21"/>
  <c r="AF255" i="21"/>
  <c r="AF253" i="21"/>
  <c r="AF251" i="21"/>
  <c r="AF249" i="21"/>
  <c r="AF247" i="21"/>
  <c r="AF235" i="21"/>
  <c r="AF231" i="21"/>
  <c r="AF230" i="21"/>
  <c r="AF229" i="21"/>
  <c r="AF228" i="21"/>
  <c r="AF227" i="21"/>
  <c r="AF234" i="21"/>
  <c r="AF226" i="21"/>
  <c r="AF225" i="21"/>
  <c r="AF224" i="21"/>
  <c r="AF223" i="21"/>
  <c r="AF222" i="21"/>
  <c r="AF221" i="21"/>
  <c r="AF220" i="21"/>
  <c r="AF219" i="21"/>
  <c r="AF218" i="21"/>
  <c r="AF217" i="21"/>
  <c r="AF216" i="21"/>
  <c r="AF215" i="21"/>
  <c r="AF214" i="21"/>
  <c r="AF213" i="21"/>
  <c r="AF212" i="21"/>
  <c r="AF211" i="21"/>
  <c r="AF210" i="21"/>
  <c r="AF209" i="21"/>
  <c r="AF208" i="21"/>
  <c r="AF207" i="21"/>
  <c r="AF206" i="21"/>
  <c r="AF205" i="21"/>
  <c r="AF204" i="21"/>
  <c r="AF203" i="21"/>
  <c r="AF202" i="21"/>
  <c r="AF201" i="21"/>
  <c r="AF262" i="21"/>
  <c r="AF260" i="21"/>
  <c r="AF258" i="21"/>
  <c r="AF256" i="21"/>
  <c r="AF254" i="21"/>
  <c r="AF252" i="21"/>
  <c r="AF250" i="21"/>
  <c r="AF248" i="21"/>
  <c r="AF237" i="21"/>
  <c r="AF233" i="21"/>
  <c r="AF200" i="21"/>
  <c r="AF199" i="21"/>
  <c r="AF198" i="21"/>
  <c r="AF197" i="21"/>
  <c r="AF196" i="21"/>
  <c r="AF246" i="21"/>
  <c r="AF236" i="21"/>
  <c r="AF232" i="21"/>
  <c r="AF184" i="21"/>
  <c r="AF183" i="21"/>
  <c r="AF182" i="21"/>
  <c r="AF181" i="21"/>
  <c r="AF180" i="21"/>
  <c r="AF179" i="21"/>
  <c r="AF178" i="21"/>
  <c r="AF177" i="21"/>
  <c r="AF176" i="21"/>
  <c r="AF175" i="21"/>
  <c r="AF174" i="21"/>
  <c r="AF173" i="21"/>
  <c r="AF172" i="21"/>
  <c r="AF171" i="21"/>
  <c r="AF170" i="21"/>
  <c r="AF169" i="21"/>
  <c r="AF168" i="21"/>
  <c r="AF167" i="21"/>
  <c r="AF166" i="21"/>
  <c r="AF165" i="21"/>
  <c r="AF164" i="21"/>
  <c r="AF163" i="21"/>
  <c r="AF162" i="21"/>
  <c r="AF161" i="21"/>
  <c r="AF160" i="21"/>
  <c r="AF159" i="21"/>
  <c r="AF158" i="21"/>
  <c r="AF157" i="21"/>
  <c r="AF156" i="21"/>
  <c r="AF155" i="21"/>
  <c r="AF154" i="21"/>
  <c r="AF134" i="21"/>
  <c r="AF133" i="21"/>
  <c r="AF132" i="21"/>
  <c r="AF131" i="21"/>
  <c r="AF130" i="21"/>
  <c r="AF129" i="21"/>
  <c r="AF128" i="21"/>
  <c r="AF153" i="21"/>
  <c r="AF152" i="21"/>
  <c r="AF151" i="21"/>
  <c r="AF150" i="21"/>
  <c r="AF149" i="21"/>
  <c r="AF148" i="21"/>
  <c r="AF147" i="21"/>
  <c r="AF146" i="21"/>
  <c r="AF145" i="21"/>
  <c r="AF195" i="21"/>
  <c r="AF194" i="21"/>
  <c r="AF193" i="21"/>
  <c r="AF192" i="21"/>
  <c r="AF191" i="21"/>
  <c r="AF190" i="21"/>
  <c r="AF189" i="21"/>
  <c r="AF188" i="21"/>
  <c r="AF187" i="21"/>
  <c r="AF144" i="21"/>
  <c r="AF143" i="21"/>
  <c r="AF186" i="21"/>
  <c r="AF185" i="21"/>
  <c r="AF142" i="21"/>
  <c r="AF138" i="21"/>
  <c r="AF136" i="21"/>
  <c r="AF95" i="21"/>
  <c r="AF94" i="21"/>
  <c r="AF93" i="21"/>
  <c r="AF92" i="21"/>
  <c r="AF91" i="21"/>
  <c r="AF141" i="21"/>
  <c r="AF137" i="21"/>
  <c r="AF127" i="21"/>
  <c r="AF126" i="21"/>
  <c r="AF125" i="21"/>
  <c r="AF124" i="21"/>
  <c r="AF123" i="21"/>
  <c r="AF122" i="21"/>
  <c r="AF121" i="21"/>
  <c r="AF120" i="21"/>
  <c r="AF119" i="21"/>
  <c r="AF118" i="21"/>
  <c r="AF117" i="21"/>
  <c r="AF116" i="21"/>
  <c r="AF90" i="21"/>
  <c r="AF89" i="21"/>
  <c r="AF88" i="21"/>
  <c r="AF87" i="21"/>
  <c r="AF86" i="21"/>
  <c r="AF85" i="21"/>
  <c r="AF84" i="21"/>
  <c r="AF140" i="21"/>
  <c r="AF135" i="21"/>
  <c r="AF115" i="21"/>
  <c r="AF114" i="21"/>
  <c r="AF113" i="21"/>
  <c r="AF112" i="21"/>
  <c r="AF111" i="21"/>
  <c r="AF110" i="21"/>
  <c r="AF109" i="21"/>
  <c r="AF108" i="21"/>
  <c r="AF107" i="21"/>
  <c r="AF106" i="21"/>
  <c r="AF83" i="21"/>
  <c r="AF82" i="21"/>
  <c r="AF81" i="21"/>
  <c r="AF80" i="21"/>
  <c r="AF79" i="21"/>
  <c r="AF78" i="21"/>
  <c r="AF77" i="21"/>
  <c r="AF76" i="21"/>
  <c r="AF75" i="21"/>
  <c r="AF74" i="21"/>
  <c r="AF73" i="21"/>
  <c r="AF72" i="21"/>
  <c r="AF139" i="21"/>
  <c r="AF105" i="21"/>
  <c r="AF104" i="21"/>
  <c r="AF103" i="21"/>
  <c r="AF102" i="21"/>
  <c r="AF101" i="21"/>
  <c r="AF100" i="21"/>
  <c r="AF99" i="21"/>
  <c r="AF98" i="21"/>
  <c r="AF97" i="21"/>
  <c r="AF96" i="21"/>
  <c r="AE9" i="21"/>
  <c r="V10" i="21"/>
  <c r="AD10" i="21" s="1"/>
  <c r="V11" i="21"/>
  <c r="AD11" i="21" s="1"/>
  <c r="V12" i="21"/>
  <c r="AD12" i="21" s="1"/>
  <c r="T13" i="21"/>
  <c r="AB13" i="21" s="1"/>
  <c r="AF13" i="21"/>
  <c r="T14" i="21"/>
  <c r="AB14" i="21" s="1"/>
  <c r="AF14" i="21"/>
  <c r="T15" i="21"/>
  <c r="AB15" i="21" s="1"/>
  <c r="AF15" i="21"/>
  <c r="T16" i="21"/>
  <c r="AB16" i="21" s="1"/>
  <c r="AF16" i="21"/>
  <c r="T17" i="21"/>
  <c r="AB17" i="21" s="1"/>
  <c r="AF17" i="21"/>
  <c r="T18" i="21"/>
  <c r="AB18" i="21" s="1"/>
  <c r="AF18" i="21"/>
  <c r="T19" i="21"/>
  <c r="AB19" i="21" s="1"/>
  <c r="AF19" i="21"/>
  <c r="T20" i="21"/>
  <c r="AB20" i="21" s="1"/>
  <c r="AF20" i="21"/>
  <c r="AE21" i="21"/>
  <c r="AE22" i="21"/>
  <c r="AE23" i="21"/>
  <c r="AE24" i="21"/>
  <c r="AE25" i="21"/>
  <c r="AE26" i="21"/>
  <c r="AE27" i="21"/>
  <c r="AE28" i="21"/>
  <c r="AE29" i="21"/>
  <c r="AE30" i="21"/>
  <c r="AE31" i="21"/>
  <c r="AE32" i="21"/>
  <c r="AE33" i="21"/>
  <c r="AE34" i="21"/>
  <c r="AE35" i="21"/>
  <c r="AE36" i="21"/>
  <c r="AE37" i="21"/>
  <c r="AE38" i="21"/>
  <c r="AE39" i="21"/>
  <c r="AE40" i="21"/>
  <c r="AE41" i="21"/>
  <c r="AE42" i="21"/>
  <c r="AE43" i="21"/>
  <c r="AF44" i="21"/>
  <c r="AG45" i="21"/>
  <c r="U46" i="21"/>
  <c r="AC46" i="21" s="1"/>
  <c r="AG47" i="21"/>
  <c r="U48" i="21"/>
  <c r="AC48" i="21" s="1"/>
  <c r="U50" i="21"/>
  <c r="AC50" i="21" s="1"/>
  <c r="T51" i="21"/>
  <c r="AB51" i="21" s="1"/>
  <c r="T53" i="21"/>
  <c r="AB53" i="21" s="1"/>
  <c r="T55" i="21"/>
  <c r="AB55" i="21" s="1"/>
  <c r="T57" i="21"/>
  <c r="AB57" i="21" s="1"/>
  <c r="T59" i="21"/>
  <c r="AB59" i="21" s="1"/>
  <c r="T61" i="21"/>
  <c r="AB61" i="21" s="1"/>
  <c r="T63" i="21"/>
  <c r="AB63" i="21" s="1"/>
  <c r="T65" i="21"/>
  <c r="AB65" i="21" s="1"/>
  <c r="T67" i="21"/>
  <c r="AB67" i="21" s="1"/>
  <c r="T69" i="21"/>
  <c r="AB69" i="21" s="1"/>
  <c r="T71" i="21"/>
  <c r="AB71" i="21" s="1"/>
  <c r="AE73" i="21"/>
  <c r="V4" i="21"/>
  <c r="AD4" i="21" s="1"/>
  <c r="T5" i="21"/>
  <c r="AB5" i="21" s="1"/>
  <c r="AF5" i="21"/>
  <c r="T6" i="21"/>
  <c r="AB6" i="21" s="1"/>
  <c r="AF6" i="21"/>
  <c r="T7" i="21"/>
  <c r="AB7" i="21" s="1"/>
  <c r="V8" i="21"/>
  <c r="AD8" i="21" s="1"/>
  <c r="T9" i="21"/>
  <c r="AB9" i="21" s="1"/>
  <c r="AF9" i="21"/>
  <c r="AG398" i="21"/>
  <c r="AG397" i="21"/>
  <c r="AG396" i="21"/>
  <c r="AG395" i="21"/>
  <c r="AG394" i="21"/>
  <c r="AG393" i="21"/>
  <c r="AG392" i="21"/>
  <c r="AG391" i="21"/>
  <c r="AG390" i="21"/>
  <c r="AG389" i="21"/>
  <c r="AG388" i="21"/>
  <c r="AG387" i="21"/>
  <c r="AG386" i="21"/>
  <c r="AG385" i="21"/>
  <c r="AG384" i="21"/>
  <c r="AG383" i="21"/>
  <c r="AG403" i="21"/>
  <c r="AG402" i="21"/>
  <c r="AG401" i="21"/>
  <c r="AG400" i="21"/>
  <c r="AG399" i="21"/>
  <c r="AG380" i="21"/>
  <c r="AG355" i="21"/>
  <c r="AG354" i="21"/>
  <c r="AG353" i="21"/>
  <c r="AG352" i="21"/>
  <c r="AG351" i="21"/>
  <c r="AG350" i="21"/>
  <c r="AG349" i="21"/>
  <c r="AG348" i="21"/>
  <c r="AG379" i="21"/>
  <c r="AG377" i="21"/>
  <c r="AG376" i="21"/>
  <c r="AG375" i="21"/>
  <c r="AG382" i="21"/>
  <c r="AG373" i="21"/>
  <c r="AG371" i="21"/>
  <c r="AG369" i="21"/>
  <c r="AG367" i="21"/>
  <c r="AG365" i="21"/>
  <c r="AG361" i="21"/>
  <c r="AG357" i="21"/>
  <c r="AG347" i="21"/>
  <c r="AG378" i="21"/>
  <c r="AG364" i="21"/>
  <c r="AG360" i="21"/>
  <c r="AG346" i="21"/>
  <c r="AG344" i="21"/>
  <c r="AG343" i="21"/>
  <c r="AG342" i="21"/>
  <c r="AG374" i="21"/>
  <c r="AG372" i="21"/>
  <c r="AG370" i="21"/>
  <c r="AG368" i="21"/>
  <c r="AG366" i="21"/>
  <c r="AG363" i="21"/>
  <c r="AG359" i="21"/>
  <c r="AG356" i="21"/>
  <c r="AG381" i="21"/>
  <c r="AG345" i="21"/>
  <c r="AG316" i="21"/>
  <c r="AG315" i="21"/>
  <c r="AG314" i="21"/>
  <c r="AG313" i="21"/>
  <c r="AG307" i="21"/>
  <c r="AG306" i="21"/>
  <c r="AG339" i="21"/>
  <c r="AG338" i="21"/>
  <c r="AG337" i="21"/>
  <c r="AG336" i="21"/>
  <c r="AG335" i="21"/>
  <c r="AG334" i="21"/>
  <c r="AG333" i="21"/>
  <c r="AG332" i="21"/>
  <c r="AG331" i="21"/>
  <c r="AG330" i="21"/>
  <c r="AG329" i="21"/>
  <c r="AG328" i="21"/>
  <c r="AG327" i="21"/>
  <c r="AG326" i="21"/>
  <c r="AG312" i="21"/>
  <c r="AG358" i="21"/>
  <c r="AG341" i="21"/>
  <c r="AG340" i="21"/>
  <c r="AG325" i="21"/>
  <c r="AG324" i="21"/>
  <c r="AG323" i="21"/>
  <c r="AG322" i="21"/>
  <c r="AG321" i="21"/>
  <c r="AG320" i="21"/>
  <c r="AG319" i="21"/>
  <c r="AG310" i="21"/>
  <c r="AG362" i="21"/>
  <c r="AG318" i="21"/>
  <c r="AG294" i="21"/>
  <c r="AG293" i="21"/>
  <c r="AG292" i="21"/>
  <c r="AG291" i="21"/>
  <c r="AG290" i="21"/>
  <c r="AG289" i="21"/>
  <c r="AG305" i="21"/>
  <c r="AG304" i="21"/>
  <c r="AG303" i="21"/>
  <c r="AG302" i="21"/>
  <c r="AG301" i="21"/>
  <c r="AG300" i="21"/>
  <c r="AG299" i="21"/>
  <c r="AG298" i="21"/>
  <c r="AG317" i="21"/>
  <c r="AG311" i="21"/>
  <c r="AG309" i="21"/>
  <c r="AG297" i="21"/>
  <c r="AG288" i="21"/>
  <c r="AG284" i="21"/>
  <c r="AG281" i="21"/>
  <c r="AG277" i="21"/>
  <c r="AG273" i="21"/>
  <c r="AG269" i="21"/>
  <c r="AG265" i="21"/>
  <c r="AG237" i="21"/>
  <c r="AG236" i="21"/>
  <c r="AG235" i="21"/>
  <c r="AG234" i="21"/>
  <c r="AG233" i="21"/>
  <c r="AG232" i="21"/>
  <c r="AG296" i="21"/>
  <c r="AG287" i="21"/>
  <c r="AG280" i="21"/>
  <c r="AG276" i="21"/>
  <c r="AG272" i="21"/>
  <c r="AG268" i="21"/>
  <c r="AG264" i="21"/>
  <c r="AG286" i="21"/>
  <c r="AG283" i="21"/>
  <c r="AG279" i="21"/>
  <c r="AG275" i="21"/>
  <c r="AG271" i="21"/>
  <c r="AG267" i="21"/>
  <c r="AG263" i="21"/>
  <c r="AG262" i="21"/>
  <c r="AG261" i="21"/>
  <c r="AG260" i="21"/>
  <c r="AG259" i="21"/>
  <c r="AG258" i="21"/>
  <c r="AG257" i="21"/>
  <c r="AG256" i="21"/>
  <c r="AG255" i="21"/>
  <c r="AG254" i="21"/>
  <c r="AG253" i="21"/>
  <c r="AG252" i="21"/>
  <c r="AG251" i="21"/>
  <c r="AG250" i="21"/>
  <c r="AG249" i="21"/>
  <c r="AG248" i="21"/>
  <c r="AG247" i="21"/>
  <c r="AG246" i="21"/>
  <c r="AG308" i="21"/>
  <c r="AG295" i="21"/>
  <c r="AG285" i="21"/>
  <c r="AG282" i="21"/>
  <c r="AG278" i="21"/>
  <c r="AG274" i="21"/>
  <c r="AG270" i="21"/>
  <c r="AG266" i="21"/>
  <c r="AG242" i="21"/>
  <c r="AG238" i="21"/>
  <c r="AG226" i="21"/>
  <c r="AG225" i="21"/>
  <c r="AG224" i="21"/>
  <c r="AG223" i="21"/>
  <c r="AG222" i="21"/>
  <c r="AG221" i="21"/>
  <c r="AG220" i="21"/>
  <c r="AG219" i="21"/>
  <c r="AG218" i="21"/>
  <c r="AG217" i="21"/>
  <c r="AG216" i="21"/>
  <c r="AG215" i="21"/>
  <c r="AG214" i="21"/>
  <c r="AG213" i="21"/>
  <c r="AG212" i="21"/>
  <c r="AG211" i="21"/>
  <c r="AG210" i="21"/>
  <c r="AG209" i="21"/>
  <c r="AG208" i="21"/>
  <c r="AG207" i="21"/>
  <c r="AG206" i="21"/>
  <c r="AG205" i="21"/>
  <c r="AG204" i="21"/>
  <c r="AG203" i="21"/>
  <c r="AG202" i="21"/>
  <c r="AG201" i="21"/>
  <c r="AG245" i="21"/>
  <c r="AG241" i="21"/>
  <c r="AG200" i="21"/>
  <c r="AG199" i="21"/>
  <c r="AG244" i="21"/>
  <c r="AG240" i="21"/>
  <c r="AG243" i="21"/>
  <c r="AG239" i="21"/>
  <c r="AG231" i="21"/>
  <c r="AG230" i="21"/>
  <c r="AG229" i="21"/>
  <c r="AG197" i="21"/>
  <c r="AG153" i="21"/>
  <c r="AG152" i="21"/>
  <c r="AG151" i="21"/>
  <c r="AG150" i="21"/>
  <c r="AG149" i="21"/>
  <c r="AG148" i="21"/>
  <c r="AG147" i="21"/>
  <c r="AG146" i="21"/>
  <c r="AG145" i="21"/>
  <c r="AG227" i="21"/>
  <c r="AG196" i="21"/>
  <c r="AG195" i="21"/>
  <c r="AG194" i="21"/>
  <c r="AG193" i="21"/>
  <c r="AG192" i="21"/>
  <c r="AG191" i="21"/>
  <c r="AG190" i="21"/>
  <c r="AG189" i="21"/>
  <c r="AG188" i="21"/>
  <c r="AG187" i="21"/>
  <c r="AG144" i="21"/>
  <c r="AG143" i="21"/>
  <c r="AG142" i="21"/>
  <c r="AG141" i="21"/>
  <c r="AG140" i="21"/>
  <c r="AG139" i="21"/>
  <c r="AG138" i="21"/>
  <c r="AG137" i="21"/>
  <c r="AG186" i="21"/>
  <c r="AG185" i="21"/>
  <c r="AG228" i="21"/>
  <c r="AG198" i="21"/>
  <c r="AG184" i="21"/>
  <c r="AG183" i="21"/>
  <c r="AG182" i="21"/>
  <c r="AG181" i="21"/>
  <c r="AG180" i="21"/>
  <c r="AG179" i="21"/>
  <c r="AG178" i="21"/>
  <c r="AG177" i="21"/>
  <c r="AG176" i="21"/>
  <c r="AG175" i="21"/>
  <c r="AG174" i="21"/>
  <c r="AG173" i="21"/>
  <c r="AG172" i="21"/>
  <c r="AG171" i="21"/>
  <c r="AG170" i="21"/>
  <c r="AG169" i="21"/>
  <c r="AG168" i="21"/>
  <c r="AG167" i="21"/>
  <c r="AG166" i="21"/>
  <c r="AG165" i="21"/>
  <c r="AG164" i="21"/>
  <c r="AG163" i="21"/>
  <c r="AG162" i="21"/>
  <c r="AG161" i="21"/>
  <c r="AG160" i="21"/>
  <c r="AG159" i="21"/>
  <c r="AG158" i="21"/>
  <c r="AG156" i="21"/>
  <c r="AG154" i="21"/>
  <c r="AG127" i="21"/>
  <c r="AG126" i="21"/>
  <c r="AG125" i="21"/>
  <c r="AG124" i="21"/>
  <c r="AG123" i="21"/>
  <c r="AG122" i="21"/>
  <c r="AG121" i="21"/>
  <c r="AG120" i="21"/>
  <c r="AG119" i="21"/>
  <c r="AG118" i="21"/>
  <c r="AG117" i="21"/>
  <c r="AG116" i="21"/>
  <c r="AG90" i="21"/>
  <c r="AG89" i="21"/>
  <c r="AG88" i="21"/>
  <c r="AG87" i="21"/>
  <c r="AG86" i="21"/>
  <c r="AG85" i="21"/>
  <c r="AG84" i="21"/>
  <c r="AG135" i="21"/>
  <c r="AG115" i="21"/>
  <c r="AG114" i="21"/>
  <c r="AG113" i="21"/>
  <c r="AG112" i="21"/>
  <c r="AG111" i="21"/>
  <c r="AG110" i="21"/>
  <c r="AG109" i="21"/>
  <c r="AG108" i="21"/>
  <c r="AG107" i="21"/>
  <c r="AG106" i="21"/>
  <c r="AG83" i="21"/>
  <c r="AG82" i="21"/>
  <c r="AG81" i="21"/>
  <c r="AG80" i="21"/>
  <c r="AG79" i="21"/>
  <c r="AG78" i="21"/>
  <c r="AG77" i="21"/>
  <c r="AG76" i="21"/>
  <c r="AG75" i="21"/>
  <c r="AG74" i="21"/>
  <c r="AG73" i="21"/>
  <c r="AG72" i="21"/>
  <c r="AG157" i="21"/>
  <c r="AG155" i="21"/>
  <c r="AG134" i="21"/>
  <c r="AG133" i="21"/>
  <c r="AG132" i="21"/>
  <c r="AG131" i="21"/>
  <c r="AG130" i="21"/>
  <c r="AG129" i="21"/>
  <c r="AG128" i="21"/>
  <c r="AG105" i="21"/>
  <c r="AG104" i="21"/>
  <c r="AG103" i="21"/>
  <c r="AG102" i="21"/>
  <c r="AG101" i="21"/>
  <c r="AG100" i="21"/>
  <c r="AG99" i="21"/>
  <c r="AG98" i="21"/>
  <c r="AG97" i="21"/>
  <c r="AG96" i="21"/>
  <c r="AG71" i="21"/>
  <c r="AG70" i="21"/>
  <c r="AG69" i="21"/>
  <c r="AG68" i="21"/>
  <c r="AG67" i="21"/>
  <c r="AG66" i="21"/>
  <c r="AG65" i="21"/>
  <c r="AG64" i="21"/>
  <c r="AG63" i="21"/>
  <c r="AG62" i="21"/>
  <c r="AG61" i="21"/>
  <c r="AG60" i="21"/>
  <c r="AG59" i="21"/>
  <c r="AG58" i="21"/>
  <c r="AG57" i="21"/>
  <c r="AG56" i="21"/>
  <c r="AG55" i="21"/>
  <c r="AG54" i="21"/>
  <c r="AG53" i="21"/>
  <c r="AG52" i="21"/>
  <c r="AG51" i="21"/>
  <c r="AG136" i="21"/>
  <c r="AG95" i="21"/>
  <c r="AG94" i="21"/>
  <c r="AG93" i="21"/>
  <c r="AG92" i="21"/>
  <c r="AG91" i="21"/>
  <c r="AE10" i="21"/>
  <c r="AE11" i="21"/>
  <c r="AE12" i="21"/>
  <c r="U13" i="21"/>
  <c r="AC13" i="21" s="1"/>
  <c r="AG13" i="21"/>
  <c r="U14" i="21"/>
  <c r="AC14" i="21" s="1"/>
  <c r="AG14" i="21"/>
  <c r="U15" i="21"/>
  <c r="AC15" i="21" s="1"/>
  <c r="AG15" i="21"/>
  <c r="U16" i="21"/>
  <c r="AC16" i="21" s="1"/>
  <c r="AG16" i="21"/>
  <c r="U17" i="21"/>
  <c r="AC17" i="21" s="1"/>
  <c r="AG17" i="21"/>
  <c r="U18" i="21"/>
  <c r="AC18" i="21" s="1"/>
  <c r="AG18" i="21"/>
  <c r="U19" i="21"/>
  <c r="AC19" i="21" s="1"/>
  <c r="AG19" i="21"/>
  <c r="AG20" i="21"/>
  <c r="T21" i="21"/>
  <c r="AB21" i="21" s="1"/>
  <c r="AF21" i="21"/>
  <c r="T22" i="21"/>
  <c r="AB22" i="21" s="1"/>
  <c r="AF22" i="21"/>
  <c r="T23" i="21"/>
  <c r="AB23" i="21" s="1"/>
  <c r="AF23" i="21"/>
  <c r="T24" i="21"/>
  <c r="AB24" i="21" s="1"/>
  <c r="AF24" i="21"/>
  <c r="T25" i="21"/>
  <c r="AB25" i="21" s="1"/>
  <c r="AF25" i="21"/>
  <c r="T26" i="21"/>
  <c r="AB26" i="21" s="1"/>
  <c r="AF26" i="21"/>
  <c r="T27" i="21"/>
  <c r="AB27" i="21" s="1"/>
  <c r="AF27" i="21"/>
  <c r="T28" i="21"/>
  <c r="AB28" i="21" s="1"/>
  <c r="AF28" i="21"/>
  <c r="T29" i="21"/>
  <c r="AB29" i="21" s="1"/>
  <c r="AF29" i="21"/>
  <c r="T30" i="21"/>
  <c r="AB30" i="21" s="1"/>
  <c r="AF30" i="21"/>
  <c r="T31" i="21"/>
  <c r="AB31" i="21" s="1"/>
  <c r="AF31" i="21"/>
  <c r="T32" i="21"/>
  <c r="AB32" i="21" s="1"/>
  <c r="AF32" i="21"/>
  <c r="T33" i="21"/>
  <c r="AB33" i="21" s="1"/>
  <c r="AF33" i="21"/>
  <c r="T34" i="21"/>
  <c r="AB34" i="21" s="1"/>
  <c r="AF34" i="21"/>
  <c r="T35" i="21"/>
  <c r="AB35" i="21" s="1"/>
  <c r="AF35" i="21"/>
  <c r="T36" i="21"/>
  <c r="AB36" i="21" s="1"/>
  <c r="AF36" i="21"/>
  <c r="T37" i="21"/>
  <c r="AB37" i="21" s="1"/>
  <c r="AF37" i="21"/>
  <c r="T38" i="21"/>
  <c r="AB38" i="21" s="1"/>
  <c r="AF38" i="21"/>
  <c r="T39" i="21"/>
  <c r="AB39" i="21" s="1"/>
  <c r="AF39" i="21"/>
  <c r="T40" i="21"/>
  <c r="AB40" i="21" s="1"/>
  <c r="AF40" i="21"/>
  <c r="T41" i="21"/>
  <c r="AB41" i="21" s="1"/>
  <c r="AF41" i="21"/>
  <c r="T42" i="21"/>
  <c r="AB42" i="21" s="1"/>
  <c r="AF42" i="21"/>
  <c r="T43" i="21"/>
  <c r="AB43" i="21" s="1"/>
  <c r="AF43" i="21"/>
  <c r="T44" i="21"/>
  <c r="AB44" i="21" s="1"/>
  <c r="AG44" i="21"/>
  <c r="T45" i="21"/>
  <c r="AB45" i="21" s="1"/>
  <c r="AF46" i="21"/>
  <c r="T47" i="21"/>
  <c r="AB47" i="21" s="1"/>
  <c r="AF48" i="21"/>
  <c r="AF50" i="21"/>
  <c r="AF51" i="21"/>
  <c r="AF53" i="21"/>
  <c r="AF55" i="21"/>
  <c r="AF57" i="21"/>
  <c r="AF59" i="21"/>
  <c r="AF61" i="21"/>
  <c r="AF63" i="21"/>
  <c r="AF65" i="21"/>
  <c r="AF67" i="21"/>
  <c r="AF69" i="21"/>
  <c r="AF71" i="21"/>
  <c r="T403" i="21"/>
  <c r="AB403" i="21" s="1"/>
  <c r="T402" i="21"/>
  <c r="AB402" i="21" s="1"/>
  <c r="T401" i="21"/>
  <c r="AB401" i="21" s="1"/>
  <c r="T400" i="21"/>
  <c r="AB400" i="21" s="1"/>
  <c r="T399" i="21"/>
  <c r="AB399" i="21" s="1"/>
  <c r="T398" i="21"/>
  <c r="AB398" i="21" s="1"/>
  <c r="T397" i="21"/>
  <c r="AB397" i="21" s="1"/>
  <c r="T394" i="21"/>
  <c r="AB394" i="21" s="1"/>
  <c r="T390" i="21"/>
  <c r="AB390" i="21" s="1"/>
  <c r="T386" i="21"/>
  <c r="AB386" i="21" s="1"/>
  <c r="T383" i="21"/>
  <c r="AB383" i="21" s="1"/>
  <c r="T380" i="21"/>
  <c r="AB380" i="21" s="1"/>
  <c r="T356" i="21"/>
  <c r="AB356" i="21" s="1"/>
  <c r="T344" i="21"/>
  <c r="AB344" i="21" s="1"/>
  <c r="T343" i="21"/>
  <c r="AB343" i="21" s="1"/>
  <c r="T342" i="21"/>
  <c r="AB342" i="21" s="1"/>
  <c r="T341" i="21"/>
  <c r="AB341" i="21" s="1"/>
  <c r="T393" i="21"/>
  <c r="AB393" i="21" s="1"/>
  <c r="T389" i="21"/>
  <c r="AB389" i="21" s="1"/>
  <c r="T385" i="21"/>
  <c r="AB385" i="21" s="1"/>
  <c r="T379" i="21"/>
  <c r="AB379" i="21" s="1"/>
  <c r="T392" i="21"/>
  <c r="AB392" i="21" s="1"/>
  <c r="T388" i="21"/>
  <c r="AB388" i="21" s="1"/>
  <c r="T384" i="21"/>
  <c r="AB384" i="21" s="1"/>
  <c r="T382" i="21"/>
  <c r="AB382" i="21" s="1"/>
  <c r="T391" i="21"/>
  <c r="AB391" i="21" s="1"/>
  <c r="T381" i="21"/>
  <c r="AB381" i="21" s="1"/>
  <c r="T377" i="21"/>
  <c r="AB377" i="21" s="1"/>
  <c r="T365" i="21"/>
  <c r="AB365" i="21" s="1"/>
  <c r="T361" i="21"/>
  <c r="AB361" i="21" s="1"/>
  <c r="T357" i="21"/>
  <c r="AB357" i="21" s="1"/>
  <c r="T347" i="21"/>
  <c r="AB347" i="21" s="1"/>
  <c r="T396" i="21"/>
  <c r="AB396" i="21" s="1"/>
  <c r="T395" i="21"/>
  <c r="AB395" i="21" s="1"/>
  <c r="T376" i="21"/>
  <c r="AB376" i="21" s="1"/>
  <c r="T374" i="21"/>
  <c r="AB374" i="21" s="1"/>
  <c r="T372" i="21"/>
  <c r="AB372" i="21" s="1"/>
  <c r="T370" i="21"/>
  <c r="AB370" i="21" s="1"/>
  <c r="T368" i="21"/>
  <c r="AB368" i="21" s="1"/>
  <c r="T366" i="21"/>
  <c r="AB366" i="21" s="1"/>
  <c r="T364" i="21"/>
  <c r="AB364" i="21" s="1"/>
  <c r="T360" i="21"/>
  <c r="AB360" i="21" s="1"/>
  <c r="T346" i="21"/>
  <c r="AB346" i="21" s="1"/>
  <c r="T375" i="21"/>
  <c r="AB375" i="21" s="1"/>
  <c r="T363" i="21"/>
  <c r="AB363" i="21" s="1"/>
  <c r="T359" i="21"/>
  <c r="AB359" i="21" s="1"/>
  <c r="T355" i="21"/>
  <c r="AB355" i="21" s="1"/>
  <c r="T354" i="21"/>
  <c r="AB354" i="21" s="1"/>
  <c r="T353" i="21"/>
  <c r="AB353" i="21" s="1"/>
  <c r="T352" i="21"/>
  <c r="AB352" i="21" s="1"/>
  <c r="T351" i="21"/>
  <c r="AB351" i="21" s="1"/>
  <c r="T350" i="21"/>
  <c r="AB350" i="21" s="1"/>
  <c r="T349" i="21"/>
  <c r="AB349" i="21" s="1"/>
  <c r="T348" i="21"/>
  <c r="AB348" i="21" s="1"/>
  <c r="T362" i="21"/>
  <c r="AB362" i="21" s="1"/>
  <c r="T318" i="21"/>
  <c r="AB318" i="21" s="1"/>
  <c r="T317" i="21"/>
  <c r="AB317" i="21" s="1"/>
  <c r="T309" i="21"/>
  <c r="AB309" i="21" s="1"/>
  <c r="T308" i="21"/>
  <c r="AB308" i="21" s="1"/>
  <c r="T316" i="21"/>
  <c r="AB316" i="21" s="1"/>
  <c r="T315" i="21"/>
  <c r="AB315" i="21" s="1"/>
  <c r="T314" i="21"/>
  <c r="AB314" i="21" s="1"/>
  <c r="T313" i="21"/>
  <c r="AB313" i="21" s="1"/>
  <c r="T378" i="21"/>
  <c r="AB378" i="21" s="1"/>
  <c r="T373" i="21"/>
  <c r="AB373" i="21" s="1"/>
  <c r="T371" i="21"/>
  <c r="AB371" i="21" s="1"/>
  <c r="T369" i="21"/>
  <c r="AB369" i="21" s="1"/>
  <c r="T367" i="21"/>
  <c r="AB367" i="21" s="1"/>
  <c r="T345" i="21"/>
  <c r="AB345" i="21" s="1"/>
  <c r="T340" i="21"/>
  <c r="AB340" i="21" s="1"/>
  <c r="T339" i="21"/>
  <c r="AB339" i="21" s="1"/>
  <c r="T338" i="21"/>
  <c r="AB338" i="21" s="1"/>
  <c r="T337" i="21"/>
  <c r="AB337" i="21" s="1"/>
  <c r="T336" i="21"/>
  <c r="AB336" i="21" s="1"/>
  <c r="T335" i="21"/>
  <c r="AB335" i="21" s="1"/>
  <c r="T334" i="21"/>
  <c r="AB334" i="21" s="1"/>
  <c r="T333" i="21"/>
  <c r="AB333" i="21" s="1"/>
  <c r="T332" i="21"/>
  <c r="AB332" i="21" s="1"/>
  <c r="T331" i="21"/>
  <c r="AB331" i="21" s="1"/>
  <c r="T330" i="21"/>
  <c r="AB330" i="21" s="1"/>
  <c r="T329" i="21"/>
  <c r="AB329" i="21" s="1"/>
  <c r="T328" i="21"/>
  <c r="AB328" i="21" s="1"/>
  <c r="T327" i="21"/>
  <c r="AB327" i="21" s="1"/>
  <c r="T326" i="21"/>
  <c r="AB326" i="21" s="1"/>
  <c r="T312" i="21"/>
  <c r="AB312" i="21" s="1"/>
  <c r="T311" i="21"/>
  <c r="AB311" i="21" s="1"/>
  <c r="T387" i="21"/>
  <c r="AB387" i="21" s="1"/>
  <c r="T358" i="21"/>
  <c r="AB358" i="21" s="1"/>
  <c r="T324" i="21"/>
  <c r="AB324" i="21" s="1"/>
  <c r="T322" i="21"/>
  <c r="AB322" i="21" s="1"/>
  <c r="T320" i="21"/>
  <c r="AB320" i="21" s="1"/>
  <c r="T296" i="21"/>
  <c r="AB296" i="21" s="1"/>
  <c r="T295" i="21"/>
  <c r="AB295" i="21" s="1"/>
  <c r="T305" i="21"/>
  <c r="AB305" i="21" s="1"/>
  <c r="T294" i="21"/>
  <c r="AB294" i="21" s="1"/>
  <c r="T293" i="21"/>
  <c r="AB293" i="21" s="1"/>
  <c r="T325" i="21"/>
  <c r="AB325" i="21" s="1"/>
  <c r="T323" i="21"/>
  <c r="AB323" i="21" s="1"/>
  <c r="T321" i="21"/>
  <c r="AB321" i="21" s="1"/>
  <c r="T319" i="21"/>
  <c r="AB319" i="21" s="1"/>
  <c r="T310" i="21"/>
  <c r="AB310" i="21" s="1"/>
  <c r="T304" i="21"/>
  <c r="AB304" i="21" s="1"/>
  <c r="T303" i="21"/>
  <c r="AB303" i="21" s="1"/>
  <c r="T302" i="21"/>
  <c r="AB302" i="21" s="1"/>
  <c r="T301" i="21"/>
  <c r="AB301" i="21" s="1"/>
  <c r="T300" i="21"/>
  <c r="AB300" i="21" s="1"/>
  <c r="T299" i="21"/>
  <c r="AB299" i="21" s="1"/>
  <c r="T298" i="21"/>
  <c r="AB298" i="21" s="1"/>
  <c r="T288" i="21"/>
  <c r="AB288" i="21" s="1"/>
  <c r="T284" i="21"/>
  <c r="AB284" i="21" s="1"/>
  <c r="T281" i="21"/>
  <c r="AB281" i="21" s="1"/>
  <c r="T277" i="21"/>
  <c r="AB277" i="21" s="1"/>
  <c r="T273" i="21"/>
  <c r="AB273" i="21" s="1"/>
  <c r="T269" i="21"/>
  <c r="AB269" i="21" s="1"/>
  <c r="T265" i="21"/>
  <c r="AB265" i="21" s="1"/>
  <c r="T245" i="21"/>
  <c r="AB245" i="21" s="1"/>
  <c r="T244" i="21"/>
  <c r="AB244" i="21" s="1"/>
  <c r="T243" i="21"/>
  <c r="AB243" i="21" s="1"/>
  <c r="T242" i="21"/>
  <c r="AB242" i="21" s="1"/>
  <c r="T241" i="21"/>
  <c r="AB241" i="21" s="1"/>
  <c r="T240" i="21"/>
  <c r="AB240" i="21" s="1"/>
  <c r="T239" i="21"/>
  <c r="AB239" i="21" s="1"/>
  <c r="T238" i="21"/>
  <c r="AB238" i="21" s="1"/>
  <c r="T307" i="21"/>
  <c r="AB307" i="21" s="1"/>
  <c r="T287" i="21"/>
  <c r="AB287" i="21" s="1"/>
  <c r="T280" i="21"/>
  <c r="AB280" i="21" s="1"/>
  <c r="T276" i="21"/>
  <c r="AB276" i="21" s="1"/>
  <c r="T272" i="21"/>
  <c r="AB272" i="21" s="1"/>
  <c r="T268" i="21"/>
  <c r="AB268" i="21" s="1"/>
  <c r="T264" i="21"/>
  <c r="AB264" i="21" s="1"/>
  <c r="T306" i="21"/>
  <c r="AB306" i="21" s="1"/>
  <c r="T291" i="21"/>
  <c r="AB291" i="21" s="1"/>
  <c r="T290" i="21"/>
  <c r="AB290" i="21" s="1"/>
  <c r="T289" i="21"/>
  <c r="AB289" i="21" s="1"/>
  <c r="T286" i="21"/>
  <c r="AB286" i="21" s="1"/>
  <c r="T283" i="21"/>
  <c r="AB283" i="21" s="1"/>
  <c r="T279" i="21"/>
  <c r="AB279" i="21" s="1"/>
  <c r="T275" i="21"/>
  <c r="AB275" i="21" s="1"/>
  <c r="T271" i="21"/>
  <c r="AB271" i="21" s="1"/>
  <c r="T267" i="21"/>
  <c r="AB267" i="21" s="1"/>
  <c r="T297" i="21"/>
  <c r="AB297" i="21" s="1"/>
  <c r="T292" i="21"/>
  <c r="AB292" i="21" s="1"/>
  <c r="T285" i="21"/>
  <c r="AB285" i="21" s="1"/>
  <c r="T282" i="21"/>
  <c r="AB282" i="21" s="1"/>
  <c r="T278" i="21"/>
  <c r="AB278" i="21" s="1"/>
  <c r="T274" i="21"/>
  <c r="AB274" i="21" s="1"/>
  <c r="T270" i="21"/>
  <c r="AB270" i="21" s="1"/>
  <c r="T266" i="21"/>
  <c r="AB266" i="21" s="1"/>
  <c r="T237" i="21"/>
  <c r="AB237" i="21" s="1"/>
  <c r="T233" i="21"/>
  <c r="AB233" i="21" s="1"/>
  <c r="T231" i="21"/>
  <c r="AB231" i="21" s="1"/>
  <c r="T230" i="21"/>
  <c r="AB230" i="21" s="1"/>
  <c r="T229" i="21"/>
  <c r="AB229" i="21" s="1"/>
  <c r="T228" i="21"/>
  <c r="AB228" i="21" s="1"/>
  <c r="T227" i="21"/>
  <c r="AB227" i="21" s="1"/>
  <c r="T263" i="21"/>
  <c r="AB263" i="21" s="1"/>
  <c r="T261" i="21"/>
  <c r="AB261" i="21" s="1"/>
  <c r="T259" i="21"/>
  <c r="AB259" i="21" s="1"/>
  <c r="T257" i="21"/>
  <c r="AB257" i="21" s="1"/>
  <c r="T255" i="21"/>
  <c r="AB255" i="21" s="1"/>
  <c r="T253" i="21"/>
  <c r="AB253" i="21" s="1"/>
  <c r="T251" i="21"/>
  <c r="AB251" i="21" s="1"/>
  <c r="T249" i="21"/>
  <c r="AB249" i="21" s="1"/>
  <c r="T247" i="21"/>
  <c r="AB247" i="21" s="1"/>
  <c r="T246" i="21"/>
  <c r="AB246" i="21" s="1"/>
  <c r="T236" i="21"/>
  <c r="AB236" i="21" s="1"/>
  <c r="T226" i="21"/>
  <c r="AB226" i="21" s="1"/>
  <c r="T225" i="21"/>
  <c r="AB225" i="21" s="1"/>
  <c r="T224" i="21"/>
  <c r="AB224" i="21" s="1"/>
  <c r="T223" i="21"/>
  <c r="AB223" i="21" s="1"/>
  <c r="T222" i="21"/>
  <c r="AB222" i="21" s="1"/>
  <c r="T221" i="21"/>
  <c r="AB221" i="21" s="1"/>
  <c r="T220" i="21"/>
  <c r="AB220" i="21" s="1"/>
  <c r="T219" i="21"/>
  <c r="AB219" i="21" s="1"/>
  <c r="T218" i="21"/>
  <c r="AB218" i="21" s="1"/>
  <c r="T217" i="21"/>
  <c r="AB217" i="21" s="1"/>
  <c r="T216" i="21"/>
  <c r="AB216" i="21" s="1"/>
  <c r="T215" i="21"/>
  <c r="AB215" i="21" s="1"/>
  <c r="T214" i="21"/>
  <c r="AB214" i="21" s="1"/>
  <c r="T213" i="21"/>
  <c r="AB213" i="21" s="1"/>
  <c r="T212" i="21"/>
  <c r="AB212" i="21" s="1"/>
  <c r="T211" i="21"/>
  <c r="AB211" i="21" s="1"/>
  <c r="T210" i="21"/>
  <c r="AB210" i="21" s="1"/>
  <c r="T209" i="21"/>
  <c r="AB209" i="21" s="1"/>
  <c r="T208" i="21"/>
  <c r="AB208" i="21" s="1"/>
  <c r="T207" i="21"/>
  <c r="AB207" i="21" s="1"/>
  <c r="T206" i="21"/>
  <c r="AB206" i="21" s="1"/>
  <c r="T205" i="21"/>
  <c r="AB205" i="21" s="1"/>
  <c r="T204" i="21"/>
  <c r="AB204" i="21" s="1"/>
  <c r="T203" i="21"/>
  <c r="AB203" i="21" s="1"/>
  <c r="T202" i="21"/>
  <c r="AB202" i="21" s="1"/>
  <c r="T201" i="21"/>
  <c r="AB201" i="21" s="1"/>
  <c r="T235" i="21"/>
  <c r="AB235" i="21" s="1"/>
  <c r="T232" i="21"/>
  <c r="AB232" i="21" s="1"/>
  <c r="T200" i="21"/>
  <c r="AB200" i="21" s="1"/>
  <c r="T199" i="21"/>
  <c r="AB199" i="21" s="1"/>
  <c r="T198" i="21"/>
  <c r="AB198" i="21" s="1"/>
  <c r="T197" i="21"/>
  <c r="AB197" i="21" s="1"/>
  <c r="T196" i="21"/>
  <c r="AB196" i="21" s="1"/>
  <c r="T262" i="21"/>
  <c r="AB262" i="21" s="1"/>
  <c r="T260" i="21"/>
  <c r="AB260" i="21" s="1"/>
  <c r="T258" i="21"/>
  <c r="AB258" i="21" s="1"/>
  <c r="T256" i="21"/>
  <c r="AB256" i="21" s="1"/>
  <c r="T254" i="21"/>
  <c r="AB254" i="21" s="1"/>
  <c r="T252" i="21"/>
  <c r="AB252" i="21" s="1"/>
  <c r="T250" i="21"/>
  <c r="AB250" i="21" s="1"/>
  <c r="T248" i="21"/>
  <c r="AB248" i="21" s="1"/>
  <c r="T234" i="21"/>
  <c r="AB234" i="21" s="1"/>
  <c r="T184" i="21"/>
  <c r="AB184" i="21" s="1"/>
  <c r="T183" i="21"/>
  <c r="AB183" i="21" s="1"/>
  <c r="T182" i="21"/>
  <c r="AB182" i="21" s="1"/>
  <c r="T181" i="21"/>
  <c r="AB181" i="21" s="1"/>
  <c r="T180" i="21"/>
  <c r="AB180" i="21" s="1"/>
  <c r="T179" i="21"/>
  <c r="AB179" i="21" s="1"/>
  <c r="T178" i="21"/>
  <c r="AB178" i="21" s="1"/>
  <c r="T177" i="21"/>
  <c r="AB177" i="21" s="1"/>
  <c r="T176" i="21"/>
  <c r="AB176" i="21" s="1"/>
  <c r="T175" i="21"/>
  <c r="AB175" i="21" s="1"/>
  <c r="T174" i="21"/>
  <c r="AB174" i="21" s="1"/>
  <c r="T173" i="21"/>
  <c r="AB173" i="21" s="1"/>
  <c r="T172" i="21"/>
  <c r="AB172" i="21" s="1"/>
  <c r="T171" i="21"/>
  <c r="AB171" i="21" s="1"/>
  <c r="T170" i="21"/>
  <c r="AB170" i="21" s="1"/>
  <c r="T169" i="21"/>
  <c r="AB169" i="21" s="1"/>
  <c r="T168" i="21"/>
  <c r="AB168" i="21" s="1"/>
  <c r="T167" i="21"/>
  <c r="AB167" i="21" s="1"/>
  <c r="T166" i="21"/>
  <c r="AB166" i="21" s="1"/>
  <c r="T165" i="21"/>
  <c r="AB165" i="21" s="1"/>
  <c r="T164" i="21"/>
  <c r="AB164" i="21" s="1"/>
  <c r="T163" i="21"/>
  <c r="AB163" i="21" s="1"/>
  <c r="T162" i="21"/>
  <c r="AB162" i="21" s="1"/>
  <c r="T161" i="21"/>
  <c r="AB161" i="21" s="1"/>
  <c r="T160" i="21"/>
  <c r="AB160" i="21" s="1"/>
  <c r="T159" i="21"/>
  <c r="AB159" i="21" s="1"/>
  <c r="T158" i="21"/>
  <c r="AB158" i="21" s="1"/>
  <c r="T157" i="21"/>
  <c r="AB157" i="21" s="1"/>
  <c r="T156" i="21"/>
  <c r="AB156" i="21" s="1"/>
  <c r="T155" i="21"/>
  <c r="AB155" i="21" s="1"/>
  <c r="T154" i="21"/>
  <c r="AB154" i="21" s="1"/>
  <c r="T134" i="21"/>
  <c r="AB134" i="21" s="1"/>
  <c r="T133" i="21"/>
  <c r="AB133" i="21" s="1"/>
  <c r="T132" i="21"/>
  <c r="AB132" i="21" s="1"/>
  <c r="T131" i="21"/>
  <c r="AB131" i="21" s="1"/>
  <c r="T130" i="21"/>
  <c r="AB130" i="21" s="1"/>
  <c r="T129" i="21"/>
  <c r="AB129" i="21" s="1"/>
  <c r="T128" i="21"/>
  <c r="AB128" i="21" s="1"/>
  <c r="T153" i="21"/>
  <c r="AB153" i="21" s="1"/>
  <c r="T152" i="21"/>
  <c r="AB152" i="21" s="1"/>
  <c r="T151" i="21"/>
  <c r="AB151" i="21" s="1"/>
  <c r="T150" i="21"/>
  <c r="AB150" i="21" s="1"/>
  <c r="T149" i="21"/>
  <c r="AB149" i="21" s="1"/>
  <c r="T148" i="21"/>
  <c r="AB148" i="21" s="1"/>
  <c r="T147" i="21"/>
  <c r="AB147" i="21" s="1"/>
  <c r="T146" i="21"/>
  <c r="AB146" i="21" s="1"/>
  <c r="T145" i="21"/>
  <c r="AB145" i="21" s="1"/>
  <c r="T195" i="21"/>
  <c r="AB195" i="21" s="1"/>
  <c r="T194" i="21"/>
  <c r="AB194" i="21" s="1"/>
  <c r="T193" i="21"/>
  <c r="AB193" i="21" s="1"/>
  <c r="T192" i="21"/>
  <c r="AB192" i="21" s="1"/>
  <c r="T191" i="21"/>
  <c r="AB191" i="21" s="1"/>
  <c r="T190" i="21"/>
  <c r="AB190" i="21" s="1"/>
  <c r="T189" i="21"/>
  <c r="AB189" i="21" s="1"/>
  <c r="T188" i="21"/>
  <c r="AB188" i="21" s="1"/>
  <c r="T187" i="21"/>
  <c r="AB187" i="21" s="1"/>
  <c r="T144" i="21"/>
  <c r="AB144" i="21" s="1"/>
  <c r="T143" i="21"/>
  <c r="AB143" i="21" s="1"/>
  <c r="T186" i="21"/>
  <c r="AB186" i="21" s="1"/>
  <c r="T185" i="21"/>
  <c r="AB185" i="21" s="1"/>
  <c r="T140" i="21"/>
  <c r="AB140" i="21" s="1"/>
  <c r="T135" i="21"/>
  <c r="AB135" i="21" s="1"/>
  <c r="T95" i="21"/>
  <c r="AB95" i="21" s="1"/>
  <c r="T94" i="21"/>
  <c r="AB94" i="21" s="1"/>
  <c r="T93" i="21"/>
  <c r="AB93" i="21" s="1"/>
  <c r="T92" i="21"/>
  <c r="AB92" i="21" s="1"/>
  <c r="T91" i="21"/>
  <c r="AB91" i="21" s="1"/>
  <c r="T139" i="21"/>
  <c r="AB139" i="21" s="1"/>
  <c r="T127" i="21"/>
  <c r="AB127" i="21" s="1"/>
  <c r="T126" i="21"/>
  <c r="AB126" i="21" s="1"/>
  <c r="T125" i="21"/>
  <c r="AB125" i="21" s="1"/>
  <c r="T124" i="21"/>
  <c r="AB124" i="21" s="1"/>
  <c r="T123" i="21"/>
  <c r="AB123" i="21" s="1"/>
  <c r="T122" i="21"/>
  <c r="AB122" i="21" s="1"/>
  <c r="T121" i="21"/>
  <c r="AB121" i="21" s="1"/>
  <c r="T120" i="21"/>
  <c r="AB120" i="21" s="1"/>
  <c r="T119" i="21"/>
  <c r="AB119" i="21" s="1"/>
  <c r="T118" i="21"/>
  <c r="AB118" i="21" s="1"/>
  <c r="T117" i="21"/>
  <c r="AB117" i="21" s="1"/>
  <c r="T116" i="21"/>
  <c r="AB116" i="21" s="1"/>
  <c r="T90" i="21"/>
  <c r="AB90" i="21" s="1"/>
  <c r="T89" i="21"/>
  <c r="AB89" i="21" s="1"/>
  <c r="T88" i="21"/>
  <c r="AB88" i="21" s="1"/>
  <c r="T87" i="21"/>
  <c r="AB87" i="21" s="1"/>
  <c r="T86" i="21"/>
  <c r="AB86" i="21" s="1"/>
  <c r="T85" i="21"/>
  <c r="AB85" i="21" s="1"/>
  <c r="T84" i="21"/>
  <c r="AB84" i="21" s="1"/>
  <c r="T142" i="21"/>
  <c r="AB142" i="21" s="1"/>
  <c r="T138" i="21"/>
  <c r="AB138" i="21" s="1"/>
  <c r="T136" i="21"/>
  <c r="AB136" i="21" s="1"/>
  <c r="T115" i="21"/>
  <c r="AB115" i="21" s="1"/>
  <c r="T114" i="21"/>
  <c r="AB114" i="21" s="1"/>
  <c r="T113" i="21"/>
  <c r="AB113" i="21" s="1"/>
  <c r="T112" i="21"/>
  <c r="AB112" i="21" s="1"/>
  <c r="T111" i="21"/>
  <c r="AB111" i="21" s="1"/>
  <c r="T110" i="21"/>
  <c r="AB110" i="21" s="1"/>
  <c r="T109" i="21"/>
  <c r="AB109" i="21" s="1"/>
  <c r="T108" i="21"/>
  <c r="AB108" i="21" s="1"/>
  <c r="T107" i="21"/>
  <c r="AB107" i="21" s="1"/>
  <c r="T106" i="21"/>
  <c r="AB106" i="21" s="1"/>
  <c r="T83" i="21"/>
  <c r="AB83" i="21" s="1"/>
  <c r="T82" i="21"/>
  <c r="AB82" i="21" s="1"/>
  <c r="T81" i="21"/>
  <c r="AB81" i="21" s="1"/>
  <c r="T80" i="21"/>
  <c r="AB80" i="21" s="1"/>
  <c r="T79" i="21"/>
  <c r="AB79" i="21" s="1"/>
  <c r="T78" i="21"/>
  <c r="AB78" i="21" s="1"/>
  <c r="T77" i="21"/>
  <c r="AB77" i="21" s="1"/>
  <c r="T76" i="21"/>
  <c r="AB76" i="21" s="1"/>
  <c r="T75" i="21"/>
  <c r="AB75" i="21" s="1"/>
  <c r="T74" i="21"/>
  <c r="AB74" i="21" s="1"/>
  <c r="T73" i="21"/>
  <c r="AB73" i="21" s="1"/>
  <c r="T72" i="21"/>
  <c r="AB72" i="21" s="1"/>
  <c r="T141" i="21"/>
  <c r="AB141" i="21" s="1"/>
  <c r="T137" i="21"/>
  <c r="AB137" i="21" s="1"/>
  <c r="T105" i="21"/>
  <c r="AB105" i="21" s="1"/>
  <c r="T104" i="21"/>
  <c r="AB104" i="21" s="1"/>
  <c r="T103" i="21"/>
  <c r="AB103" i="21" s="1"/>
  <c r="T102" i="21"/>
  <c r="AB102" i="21" s="1"/>
  <c r="T101" i="21"/>
  <c r="AB101" i="21" s="1"/>
  <c r="T100" i="21"/>
  <c r="AB100" i="21" s="1"/>
  <c r="T99" i="21"/>
  <c r="AB99" i="21" s="1"/>
  <c r="T98" i="21"/>
  <c r="AB98" i="21" s="1"/>
  <c r="T97" i="21"/>
  <c r="AB97" i="21" s="1"/>
  <c r="T96" i="21"/>
  <c r="AB96" i="21" s="1"/>
  <c r="U398" i="21"/>
  <c r="AC398" i="21" s="1"/>
  <c r="U397" i="21"/>
  <c r="AC397" i="21" s="1"/>
  <c r="U396" i="21"/>
  <c r="AC396" i="21" s="1"/>
  <c r="U395" i="21"/>
  <c r="AC395" i="21" s="1"/>
  <c r="U394" i="21"/>
  <c r="AC394" i="21" s="1"/>
  <c r="U393" i="21"/>
  <c r="AC393" i="21" s="1"/>
  <c r="U392" i="21"/>
  <c r="AC392" i="21" s="1"/>
  <c r="U391" i="21"/>
  <c r="AC391" i="21" s="1"/>
  <c r="U390" i="21"/>
  <c r="AC390" i="21" s="1"/>
  <c r="U389" i="21"/>
  <c r="AC389" i="21" s="1"/>
  <c r="U388" i="21"/>
  <c r="AC388" i="21" s="1"/>
  <c r="U387" i="21"/>
  <c r="AC387" i="21" s="1"/>
  <c r="U386" i="21"/>
  <c r="AC386" i="21" s="1"/>
  <c r="U385" i="21"/>
  <c r="AC385" i="21" s="1"/>
  <c r="U384" i="21"/>
  <c r="AC384" i="21" s="1"/>
  <c r="U403" i="21"/>
  <c r="AC403" i="21" s="1"/>
  <c r="U402" i="21"/>
  <c r="AC402" i="21" s="1"/>
  <c r="U401" i="21"/>
  <c r="AC401" i="21" s="1"/>
  <c r="U400" i="21"/>
  <c r="AC400" i="21" s="1"/>
  <c r="U399" i="21"/>
  <c r="AC399" i="21" s="1"/>
  <c r="U379" i="21"/>
  <c r="AC379" i="21" s="1"/>
  <c r="U355" i="21"/>
  <c r="AC355" i="21" s="1"/>
  <c r="U354" i="21"/>
  <c r="AC354" i="21" s="1"/>
  <c r="U353" i="21"/>
  <c r="AC353" i="21" s="1"/>
  <c r="U352" i="21"/>
  <c r="AC352" i="21" s="1"/>
  <c r="U351" i="21"/>
  <c r="AC351" i="21" s="1"/>
  <c r="U350" i="21"/>
  <c r="AC350" i="21" s="1"/>
  <c r="U349" i="21"/>
  <c r="AC349" i="21" s="1"/>
  <c r="U348" i="21"/>
  <c r="AC348" i="21" s="1"/>
  <c r="U382" i="21"/>
  <c r="AC382" i="21" s="1"/>
  <c r="U378" i="21"/>
  <c r="AC378" i="21" s="1"/>
  <c r="U377" i="21"/>
  <c r="AC377" i="21" s="1"/>
  <c r="U376" i="21"/>
  <c r="AC376" i="21" s="1"/>
  <c r="U375" i="21"/>
  <c r="AC375" i="21" s="1"/>
  <c r="U381" i="21"/>
  <c r="AC381" i="21" s="1"/>
  <c r="U374" i="21"/>
  <c r="AC374" i="21" s="1"/>
  <c r="U372" i="21"/>
  <c r="AC372" i="21" s="1"/>
  <c r="U370" i="21"/>
  <c r="AC370" i="21" s="1"/>
  <c r="U368" i="21"/>
  <c r="AC368" i="21" s="1"/>
  <c r="U366" i="21"/>
  <c r="AC366" i="21" s="1"/>
  <c r="U364" i="21"/>
  <c r="AC364" i="21" s="1"/>
  <c r="U360" i="21"/>
  <c r="AC360" i="21" s="1"/>
  <c r="U346" i="21"/>
  <c r="AC346" i="21" s="1"/>
  <c r="U380" i="21"/>
  <c r="AC380" i="21" s="1"/>
  <c r="U363" i="21"/>
  <c r="AC363" i="21" s="1"/>
  <c r="U359" i="21"/>
  <c r="AC359" i="21" s="1"/>
  <c r="U356" i="21"/>
  <c r="AC356" i="21" s="1"/>
  <c r="U383" i="21"/>
  <c r="AC383" i="21" s="1"/>
  <c r="U373" i="21"/>
  <c r="AC373" i="21" s="1"/>
  <c r="U371" i="21"/>
  <c r="AC371" i="21" s="1"/>
  <c r="U369" i="21"/>
  <c r="AC369" i="21" s="1"/>
  <c r="U367" i="21"/>
  <c r="AC367" i="21" s="1"/>
  <c r="U362" i="21"/>
  <c r="AC362" i="21" s="1"/>
  <c r="U358" i="21"/>
  <c r="AC358" i="21" s="1"/>
  <c r="U357" i="21"/>
  <c r="AC357" i="21" s="1"/>
  <c r="U316" i="21"/>
  <c r="AC316" i="21" s="1"/>
  <c r="U315" i="21"/>
  <c r="AC315" i="21" s="1"/>
  <c r="U314" i="21"/>
  <c r="AC314" i="21" s="1"/>
  <c r="U313" i="21"/>
  <c r="AC313" i="21" s="1"/>
  <c r="U307" i="21"/>
  <c r="AC307" i="21" s="1"/>
  <c r="U306" i="21"/>
  <c r="AC306" i="21" s="1"/>
  <c r="U361" i="21"/>
  <c r="AC361" i="21" s="1"/>
  <c r="U345" i="21"/>
  <c r="AC345" i="21" s="1"/>
  <c r="U344" i="21"/>
  <c r="AC344" i="21" s="1"/>
  <c r="U342" i="21"/>
  <c r="AC342" i="21" s="1"/>
  <c r="U341" i="21"/>
  <c r="AC341" i="21" s="1"/>
  <c r="U340" i="21"/>
  <c r="AC340" i="21" s="1"/>
  <c r="U339" i="21"/>
  <c r="AC339" i="21" s="1"/>
  <c r="U338" i="21"/>
  <c r="AC338" i="21" s="1"/>
  <c r="U337" i="21"/>
  <c r="AC337" i="21" s="1"/>
  <c r="U336" i="21"/>
  <c r="AC336" i="21" s="1"/>
  <c r="U335" i="21"/>
  <c r="AC335" i="21" s="1"/>
  <c r="U334" i="21"/>
  <c r="AC334" i="21" s="1"/>
  <c r="U333" i="21"/>
  <c r="AC333" i="21" s="1"/>
  <c r="U332" i="21"/>
  <c r="AC332" i="21" s="1"/>
  <c r="U331" i="21"/>
  <c r="AC331" i="21" s="1"/>
  <c r="U330" i="21"/>
  <c r="AC330" i="21" s="1"/>
  <c r="U329" i="21"/>
  <c r="AC329" i="21" s="1"/>
  <c r="U328" i="21"/>
  <c r="AC328" i="21" s="1"/>
  <c r="U327" i="21"/>
  <c r="AC327" i="21" s="1"/>
  <c r="U326" i="21"/>
  <c r="AC326" i="21" s="1"/>
  <c r="U365" i="21"/>
  <c r="AC365" i="21" s="1"/>
  <c r="U347" i="21"/>
  <c r="AC347" i="21" s="1"/>
  <c r="U325" i="21"/>
  <c r="AC325" i="21" s="1"/>
  <c r="U324" i="21"/>
  <c r="AC324" i="21" s="1"/>
  <c r="U323" i="21"/>
  <c r="AC323" i="21" s="1"/>
  <c r="U322" i="21"/>
  <c r="AC322" i="21" s="1"/>
  <c r="U321" i="21"/>
  <c r="AC321" i="21" s="1"/>
  <c r="U320" i="21"/>
  <c r="AC320" i="21" s="1"/>
  <c r="U319" i="21"/>
  <c r="AC319" i="21" s="1"/>
  <c r="U310" i="21"/>
  <c r="AC310" i="21" s="1"/>
  <c r="U343" i="21"/>
  <c r="AC343" i="21" s="1"/>
  <c r="U311" i="21"/>
  <c r="AC311" i="21" s="1"/>
  <c r="U309" i="21"/>
  <c r="AC309" i="21" s="1"/>
  <c r="U305" i="21"/>
  <c r="AC305" i="21" s="1"/>
  <c r="U294" i="21"/>
  <c r="AC294" i="21" s="1"/>
  <c r="U293" i="21"/>
  <c r="AC293" i="21" s="1"/>
  <c r="U292" i="21"/>
  <c r="AC292" i="21" s="1"/>
  <c r="U291" i="21"/>
  <c r="AC291" i="21" s="1"/>
  <c r="U290" i="21"/>
  <c r="AC290" i="21" s="1"/>
  <c r="U289" i="21"/>
  <c r="AC289" i="21" s="1"/>
  <c r="U318" i="21"/>
  <c r="AC318" i="21" s="1"/>
  <c r="U304" i="21"/>
  <c r="AC304" i="21" s="1"/>
  <c r="U303" i="21"/>
  <c r="AC303" i="21" s="1"/>
  <c r="U302" i="21"/>
  <c r="AC302" i="21" s="1"/>
  <c r="U301" i="21"/>
  <c r="AC301" i="21" s="1"/>
  <c r="U300" i="21"/>
  <c r="AC300" i="21" s="1"/>
  <c r="U299" i="21"/>
  <c r="AC299" i="21" s="1"/>
  <c r="U298" i="21"/>
  <c r="AC298" i="21" s="1"/>
  <c r="U308" i="21"/>
  <c r="AC308" i="21" s="1"/>
  <c r="U297" i="21"/>
  <c r="AC297" i="21" s="1"/>
  <c r="U317" i="21"/>
  <c r="AC317" i="21" s="1"/>
  <c r="U312" i="21"/>
  <c r="AC312" i="21" s="1"/>
  <c r="U295" i="21"/>
  <c r="AC295" i="21" s="1"/>
  <c r="U287" i="21"/>
  <c r="AC287" i="21" s="1"/>
  <c r="U280" i="21"/>
  <c r="AC280" i="21" s="1"/>
  <c r="U276" i="21"/>
  <c r="AC276" i="21" s="1"/>
  <c r="U272" i="21"/>
  <c r="AC272" i="21" s="1"/>
  <c r="U268" i="21"/>
  <c r="AC268" i="21" s="1"/>
  <c r="U264" i="21"/>
  <c r="AC264" i="21" s="1"/>
  <c r="U237" i="21"/>
  <c r="AC237" i="21" s="1"/>
  <c r="U236" i="21"/>
  <c r="AC236" i="21" s="1"/>
  <c r="U235" i="21"/>
  <c r="AC235" i="21" s="1"/>
  <c r="U234" i="21"/>
  <c r="AC234" i="21" s="1"/>
  <c r="U233" i="21"/>
  <c r="AC233" i="21" s="1"/>
  <c r="U232" i="21"/>
  <c r="AC232" i="21" s="1"/>
  <c r="U286" i="21"/>
  <c r="AC286" i="21" s="1"/>
  <c r="U283" i="21"/>
  <c r="AC283" i="21" s="1"/>
  <c r="U279" i="21"/>
  <c r="AC279" i="21" s="1"/>
  <c r="U275" i="21"/>
  <c r="AC275" i="21" s="1"/>
  <c r="U271" i="21"/>
  <c r="AC271" i="21" s="1"/>
  <c r="U267" i="21"/>
  <c r="AC267" i="21" s="1"/>
  <c r="U296" i="21"/>
  <c r="AC296" i="21" s="1"/>
  <c r="U285" i="21"/>
  <c r="AC285" i="21" s="1"/>
  <c r="U282" i="21"/>
  <c r="AC282" i="21" s="1"/>
  <c r="U278" i="21"/>
  <c r="AC278" i="21" s="1"/>
  <c r="U274" i="21"/>
  <c r="AC274" i="21" s="1"/>
  <c r="U270" i="21"/>
  <c r="AC270" i="21" s="1"/>
  <c r="U266" i="21"/>
  <c r="AC266" i="21" s="1"/>
  <c r="U263" i="21"/>
  <c r="AC263" i="21" s="1"/>
  <c r="U262" i="21"/>
  <c r="AC262" i="21" s="1"/>
  <c r="U261" i="21"/>
  <c r="AC261" i="21" s="1"/>
  <c r="U260" i="21"/>
  <c r="AC260" i="21" s="1"/>
  <c r="U259" i="21"/>
  <c r="AC259" i="21" s="1"/>
  <c r="U258" i="21"/>
  <c r="AC258" i="21" s="1"/>
  <c r="U257" i="21"/>
  <c r="AC257" i="21" s="1"/>
  <c r="U256" i="21"/>
  <c r="AC256" i="21" s="1"/>
  <c r="U255" i="21"/>
  <c r="AC255" i="21" s="1"/>
  <c r="U254" i="21"/>
  <c r="AC254" i="21" s="1"/>
  <c r="U253" i="21"/>
  <c r="AC253" i="21" s="1"/>
  <c r="U252" i="21"/>
  <c r="AC252" i="21" s="1"/>
  <c r="U251" i="21"/>
  <c r="AC251" i="21" s="1"/>
  <c r="U250" i="21"/>
  <c r="AC250" i="21" s="1"/>
  <c r="U249" i="21"/>
  <c r="AC249" i="21" s="1"/>
  <c r="U248" i="21"/>
  <c r="AC248" i="21" s="1"/>
  <c r="U247" i="21"/>
  <c r="AC247" i="21" s="1"/>
  <c r="U246" i="21"/>
  <c r="AC246" i="21" s="1"/>
  <c r="U288" i="21"/>
  <c r="AC288" i="21" s="1"/>
  <c r="U284" i="21"/>
  <c r="AC284" i="21" s="1"/>
  <c r="U281" i="21"/>
  <c r="AC281" i="21" s="1"/>
  <c r="U277" i="21"/>
  <c r="AC277" i="21" s="1"/>
  <c r="U273" i="21"/>
  <c r="AC273" i="21" s="1"/>
  <c r="U269" i="21"/>
  <c r="AC269" i="21" s="1"/>
  <c r="U244" i="21"/>
  <c r="AC244" i="21" s="1"/>
  <c r="U240" i="21"/>
  <c r="AC240" i="21" s="1"/>
  <c r="U226" i="21"/>
  <c r="AC226" i="21" s="1"/>
  <c r="U225" i="21"/>
  <c r="AC225" i="21" s="1"/>
  <c r="U224" i="21"/>
  <c r="AC224" i="21" s="1"/>
  <c r="U223" i="21"/>
  <c r="AC223" i="21" s="1"/>
  <c r="U222" i="21"/>
  <c r="AC222" i="21" s="1"/>
  <c r="U221" i="21"/>
  <c r="AC221" i="21" s="1"/>
  <c r="U220" i="21"/>
  <c r="AC220" i="21" s="1"/>
  <c r="U219" i="21"/>
  <c r="AC219" i="21" s="1"/>
  <c r="U218" i="21"/>
  <c r="AC218" i="21" s="1"/>
  <c r="U217" i="21"/>
  <c r="AC217" i="21" s="1"/>
  <c r="U216" i="21"/>
  <c r="AC216" i="21" s="1"/>
  <c r="U215" i="21"/>
  <c r="AC215" i="21" s="1"/>
  <c r="U214" i="21"/>
  <c r="AC214" i="21" s="1"/>
  <c r="U213" i="21"/>
  <c r="AC213" i="21" s="1"/>
  <c r="U212" i="21"/>
  <c r="AC212" i="21" s="1"/>
  <c r="U211" i="21"/>
  <c r="AC211" i="21" s="1"/>
  <c r="U210" i="21"/>
  <c r="AC210" i="21" s="1"/>
  <c r="U209" i="21"/>
  <c r="AC209" i="21" s="1"/>
  <c r="U208" i="21"/>
  <c r="AC208" i="21" s="1"/>
  <c r="U207" i="21"/>
  <c r="AC207" i="21" s="1"/>
  <c r="U206" i="21"/>
  <c r="AC206" i="21" s="1"/>
  <c r="U205" i="21"/>
  <c r="AC205" i="21" s="1"/>
  <c r="U204" i="21"/>
  <c r="AC204" i="21" s="1"/>
  <c r="U203" i="21"/>
  <c r="AC203" i="21" s="1"/>
  <c r="U202" i="21"/>
  <c r="AC202" i="21" s="1"/>
  <c r="U201" i="21"/>
  <c r="AC201" i="21" s="1"/>
  <c r="U243" i="21"/>
  <c r="AC243" i="21" s="1"/>
  <c r="U239" i="21"/>
  <c r="AC239" i="21" s="1"/>
  <c r="U200" i="21"/>
  <c r="AC200" i="21" s="1"/>
  <c r="U199" i="21"/>
  <c r="AC199" i="21" s="1"/>
  <c r="U242" i="21"/>
  <c r="AC242" i="21" s="1"/>
  <c r="U238" i="21"/>
  <c r="AC238" i="21" s="1"/>
  <c r="U265" i="21"/>
  <c r="AC265" i="21" s="1"/>
  <c r="U245" i="21"/>
  <c r="AC245" i="21" s="1"/>
  <c r="U241" i="21"/>
  <c r="AC241" i="21" s="1"/>
  <c r="U231" i="21"/>
  <c r="AC231" i="21" s="1"/>
  <c r="U230" i="21"/>
  <c r="AC230" i="21" s="1"/>
  <c r="U229" i="21"/>
  <c r="AC229" i="21" s="1"/>
  <c r="U228" i="21"/>
  <c r="AC228" i="21" s="1"/>
  <c r="U153" i="21"/>
  <c r="AC153" i="21" s="1"/>
  <c r="U152" i="21"/>
  <c r="AC152" i="21" s="1"/>
  <c r="U151" i="21"/>
  <c r="AC151" i="21" s="1"/>
  <c r="U150" i="21"/>
  <c r="AC150" i="21" s="1"/>
  <c r="U149" i="21"/>
  <c r="AC149" i="21" s="1"/>
  <c r="U148" i="21"/>
  <c r="AC148" i="21" s="1"/>
  <c r="U147" i="21"/>
  <c r="AC147" i="21" s="1"/>
  <c r="U146" i="21"/>
  <c r="AC146" i="21" s="1"/>
  <c r="U145" i="21"/>
  <c r="AC145" i="21" s="1"/>
  <c r="U198" i="21"/>
  <c r="AC198" i="21" s="1"/>
  <c r="U195" i="21"/>
  <c r="AC195" i="21" s="1"/>
  <c r="U194" i="21"/>
  <c r="AC194" i="21" s="1"/>
  <c r="U193" i="21"/>
  <c r="AC193" i="21" s="1"/>
  <c r="U192" i="21"/>
  <c r="AC192" i="21" s="1"/>
  <c r="U191" i="21"/>
  <c r="AC191" i="21" s="1"/>
  <c r="U190" i="21"/>
  <c r="AC190" i="21" s="1"/>
  <c r="U189" i="21"/>
  <c r="AC189" i="21" s="1"/>
  <c r="U188" i="21"/>
  <c r="AC188" i="21" s="1"/>
  <c r="U187" i="21"/>
  <c r="AC187" i="21" s="1"/>
  <c r="U144" i="21"/>
  <c r="AC144" i="21" s="1"/>
  <c r="U143" i="21"/>
  <c r="AC143" i="21" s="1"/>
  <c r="U142" i="21"/>
  <c r="AC142" i="21" s="1"/>
  <c r="U141" i="21"/>
  <c r="AC141" i="21" s="1"/>
  <c r="U140" i="21"/>
  <c r="AC140" i="21" s="1"/>
  <c r="U139" i="21"/>
  <c r="AC139" i="21" s="1"/>
  <c r="U138" i="21"/>
  <c r="AC138" i="21" s="1"/>
  <c r="U137" i="21"/>
  <c r="AC137" i="21" s="1"/>
  <c r="U227" i="21"/>
  <c r="AC227" i="21" s="1"/>
  <c r="U197" i="21"/>
  <c r="AC197" i="21" s="1"/>
  <c r="U186" i="21"/>
  <c r="AC186" i="21" s="1"/>
  <c r="U185" i="21"/>
  <c r="AC185" i="21" s="1"/>
  <c r="U196" i="21"/>
  <c r="AC196" i="21" s="1"/>
  <c r="U184" i="21"/>
  <c r="AC184" i="21" s="1"/>
  <c r="U183" i="21"/>
  <c r="AC183" i="21" s="1"/>
  <c r="U182" i="21"/>
  <c r="AC182" i="21" s="1"/>
  <c r="U181" i="21"/>
  <c r="AC181" i="21" s="1"/>
  <c r="U180" i="21"/>
  <c r="AC180" i="21" s="1"/>
  <c r="U179" i="21"/>
  <c r="AC179" i="21" s="1"/>
  <c r="U178" i="21"/>
  <c r="AC178" i="21" s="1"/>
  <c r="U177" i="21"/>
  <c r="AC177" i="21" s="1"/>
  <c r="U176" i="21"/>
  <c r="AC176" i="21" s="1"/>
  <c r="U175" i="21"/>
  <c r="AC175" i="21" s="1"/>
  <c r="U174" i="21"/>
  <c r="AC174" i="21" s="1"/>
  <c r="U173" i="21"/>
  <c r="AC173" i="21" s="1"/>
  <c r="U172" i="21"/>
  <c r="AC172" i="21" s="1"/>
  <c r="U171" i="21"/>
  <c r="AC171" i="21" s="1"/>
  <c r="U170" i="21"/>
  <c r="AC170" i="21" s="1"/>
  <c r="U169" i="21"/>
  <c r="AC169" i="21" s="1"/>
  <c r="U168" i="21"/>
  <c r="AC168" i="21" s="1"/>
  <c r="U167" i="21"/>
  <c r="AC167" i="21" s="1"/>
  <c r="U166" i="21"/>
  <c r="AC166" i="21" s="1"/>
  <c r="U165" i="21"/>
  <c r="AC165" i="21" s="1"/>
  <c r="U164" i="21"/>
  <c r="AC164" i="21" s="1"/>
  <c r="U163" i="21"/>
  <c r="AC163" i="21" s="1"/>
  <c r="U162" i="21"/>
  <c r="AC162" i="21" s="1"/>
  <c r="U161" i="21"/>
  <c r="AC161" i="21" s="1"/>
  <c r="U160" i="21"/>
  <c r="AC160" i="21" s="1"/>
  <c r="U159" i="21"/>
  <c r="AC159" i="21" s="1"/>
  <c r="U127" i="21"/>
  <c r="AC127" i="21" s="1"/>
  <c r="U126" i="21"/>
  <c r="AC126" i="21" s="1"/>
  <c r="U125" i="21"/>
  <c r="AC125" i="21" s="1"/>
  <c r="U124" i="21"/>
  <c r="AC124" i="21" s="1"/>
  <c r="U123" i="21"/>
  <c r="AC123" i="21" s="1"/>
  <c r="U122" i="21"/>
  <c r="AC122" i="21" s="1"/>
  <c r="U121" i="21"/>
  <c r="AC121" i="21" s="1"/>
  <c r="U120" i="21"/>
  <c r="AC120" i="21" s="1"/>
  <c r="U119" i="21"/>
  <c r="AC119" i="21" s="1"/>
  <c r="U118" i="21"/>
  <c r="AC118" i="21" s="1"/>
  <c r="U117" i="21"/>
  <c r="AC117" i="21" s="1"/>
  <c r="U116" i="21"/>
  <c r="AC116" i="21" s="1"/>
  <c r="U90" i="21"/>
  <c r="AC90" i="21" s="1"/>
  <c r="U89" i="21"/>
  <c r="AC89" i="21" s="1"/>
  <c r="U88" i="21"/>
  <c r="AC88" i="21" s="1"/>
  <c r="U87" i="21"/>
  <c r="AC87" i="21" s="1"/>
  <c r="U86" i="21"/>
  <c r="AC86" i="21" s="1"/>
  <c r="U85" i="21"/>
  <c r="AC85" i="21" s="1"/>
  <c r="U84" i="21"/>
  <c r="AC84" i="21" s="1"/>
  <c r="U158" i="21"/>
  <c r="AC158" i="21" s="1"/>
  <c r="U156" i="21"/>
  <c r="AC156" i="21" s="1"/>
  <c r="U154" i="21"/>
  <c r="AC154" i="21" s="1"/>
  <c r="U136" i="21"/>
  <c r="AC136" i="21" s="1"/>
  <c r="U134" i="21"/>
  <c r="AC134" i="21" s="1"/>
  <c r="U133" i="21"/>
  <c r="AC133" i="21" s="1"/>
  <c r="U132" i="21"/>
  <c r="AC132" i="21" s="1"/>
  <c r="U131" i="21"/>
  <c r="AC131" i="21" s="1"/>
  <c r="U130" i="21"/>
  <c r="AC130" i="21" s="1"/>
  <c r="U129" i="21"/>
  <c r="AC129" i="21" s="1"/>
  <c r="U128" i="21"/>
  <c r="AC128" i="21" s="1"/>
  <c r="U115" i="21"/>
  <c r="AC115" i="21" s="1"/>
  <c r="U114" i="21"/>
  <c r="AC114" i="21" s="1"/>
  <c r="U113" i="21"/>
  <c r="AC113" i="21" s="1"/>
  <c r="U112" i="21"/>
  <c r="AC112" i="21" s="1"/>
  <c r="U111" i="21"/>
  <c r="AC111" i="21" s="1"/>
  <c r="U110" i="21"/>
  <c r="AC110" i="21" s="1"/>
  <c r="U109" i="21"/>
  <c r="AC109" i="21" s="1"/>
  <c r="U108" i="21"/>
  <c r="AC108" i="21" s="1"/>
  <c r="U107" i="21"/>
  <c r="AC107" i="21" s="1"/>
  <c r="U106" i="21"/>
  <c r="AC106" i="21" s="1"/>
  <c r="U83" i="21"/>
  <c r="AC83" i="21" s="1"/>
  <c r="U82" i="21"/>
  <c r="AC82" i="21" s="1"/>
  <c r="U81" i="21"/>
  <c r="AC81" i="21" s="1"/>
  <c r="U80" i="21"/>
  <c r="AC80" i="21" s="1"/>
  <c r="U79" i="21"/>
  <c r="AC79" i="21" s="1"/>
  <c r="U78" i="21"/>
  <c r="AC78" i="21" s="1"/>
  <c r="U77" i="21"/>
  <c r="AC77" i="21" s="1"/>
  <c r="U76" i="21"/>
  <c r="AC76" i="21" s="1"/>
  <c r="U75" i="21"/>
  <c r="AC75" i="21" s="1"/>
  <c r="U74" i="21"/>
  <c r="AC74" i="21" s="1"/>
  <c r="U73" i="21"/>
  <c r="AC73" i="21" s="1"/>
  <c r="U72" i="21"/>
  <c r="AC72" i="21" s="1"/>
  <c r="U105" i="21"/>
  <c r="AC105" i="21" s="1"/>
  <c r="U104" i="21"/>
  <c r="AC104" i="21" s="1"/>
  <c r="U103" i="21"/>
  <c r="AC103" i="21" s="1"/>
  <c r="U102" i="21"/>
  <c r="AC102" i="21" s="1"/>
  <c r="U101" i="21"/>
  <c r="AC101" i="21" s="1"/>
  <c r="U100" i="21"/>
  <c r="AC100" i="21" s="1"/>
  <c r="U99" i="21"/>
  <c r="AC99" i="21" s="1"/>
  <c r="U98" i="21"/>
  <c r="AC98" i="21" s="1"/>
  <c r="U97" i="21"/>
  <c r="AC97" i="21" s="1"/>
  <c r="U96" i="21"/>
  <c r="AC96" i="21" s="1"/>
  <c r="U71" i="21"/>
  <c r="AC71" i="21" s="1"/>
  <c r="U70" i="21"/>
  <c r="AC70" i="21" s="1"/>
  <c r="U69" i="21"/>
  <c r="AC69" i="21" s="1"/>
  <c r="U68" i="21"/>
  <c r="AC68" i="21" s="1"/>
  <c r="U67" i="21"/>
  <c r="AC67" i="21" s="1"/>
  <c r="U66" i="21"/>
  <c r="AC66" i="21" s="1"/>
  <c r="U65" i="21"/>
  <c r="AC65" i="21" s="1"/>
  <c r="U64" i="21"/>
  <c r="AC64" i="21" s="1"/>
  <c r="U63" i="21"/>
  <c r="AC63" i="21" s="1"/>
  <c r="U62" i="21"/>
  <c r="AC62" i="21" s="1"/>
  <c r="U61" i="21"/>
  <c r="AC61" i="21" s="1"/>
  <c r="U60" i="21"/>
  <c r="AC60" i="21" s="1"/>
  <c r="U59" i="21"/>
  <c r="AC59" i="21" s="1"/>
  <c r="U58" i="21"/>
  <c r="AC58" i="21" s="1"/>
  <c r="U57" i="21"/>
  <c r="AC57" i="21" s="1"/>
  <c r="U56" i="21"/>
  <c r="AC56" i="21" s="1"/>
  <c r="U55" i="21"/>
  <c r="AC55" i="21" s="1"/>
  <c r="U54" i="21"/>
  <c r="AC54" i="21" s="1"/>
  <c r="U53" i="21"/>
  <c r="AC53" i="21" s="1"/>
  <c r="U52" i="21"/>
  <c r="AC52" i="21" s="1"/>
  <c r="U51" i="21"/>
  <c r="AC51" i="21" s="1"/>
  <c r="U157" i="21"/>
  <c r="AC157" i="21" s="1"/>
  <c r="U155" i="21"/>
  <c r="AC155" i="21" s="1"/>
  <c r="U135" i="21"/>
  <c r="AC135" i="21" s="1"/>
  <c r="U95" i="21"/>
  <c r="AC95" i="21" s="1"/>
  <c r="U94" i="21"/>
  <c r="AC94" i="21" s="1"/>
  <c r="U93" i="21"/>
  <c r="AC93" i="21" s="1"/>
  <c r="U92" i="21"/>
  <c r="AC92" i="21" s="1"/>
  <c r="U91" i="21"/>
  <c r="AC91" i="21" s="1"/>
  <c r="U5" i="21"/>
  <c r="AC5" i="21" s="1"/>
  <c r="U6" i="21"/>
  <c r="AC6" i="21" s="1"/>
  <c r="U7" i="21"/>
  <c r="AC7" i="21" s="1"/>
  <c r="AE382" i="21"/>
  <c r="AE381" i="21"/>
  <c r="AE380" i="21"/>
  <c r="AE379" i="21"/>
  <c r="AE378" i="21"/>
  <c r="AE403" i="21"/>
  <c r="AE402" i="21"/>
  <c r="AE401" i="21"/>
  <c r="AE400" i="21"/>
  <c r="AE399" i="21"/>
  <c r="AE396" i="21"/>
  <c r="AE397" i="21"/>
  <c r="AE393" i="21"/>
  <c r="AE389" i="21"/>
  <c r="AE385" i="21"/>
  <c r="AE374" i="21"/>
  <c r="AE373" i="21"/>
  <c r="AE372" i="21"/>
  <c r="AE371" i="21"/>
  <c r="AE370" i="21"/>
  <c r="AE369" i="21"/>
  <c r="AE368" i="21"/>
  <c r="AE367" i="21"/>
  <c r="AE366" i="21"/>
  <c r="AE365" i="21"/>
  <c r="AE364" i="21"/>
  <c r="AE363" i="21"/>
  <c r="AE362" i="21"/>
  <c r="AE361" i="21"/>
  <c r="AE360" i="21"/>
  <c r="AE359" i="21"/>
  <c r="AE358" i="21"/>
  <c r="AE357" i="21"/>
  <c r="AE345" i="21"/>
  <c r="AE392" i="21"/>
  <c r="AE388" i="21"/>
  <c r="AE384" i="21"/>
  <c r="AE395" i="21"/>
  <c r="AE391" i="21"/>
  <c r="AE387" i="21"/>
  <c r="AE383" i="21"/>
  <c r="AE390" i="21"/>
  <c r="AE376" i="21"/>
  <c r="AE355" i="21"/>
  <c r="AE354" i="21"/>
  <c r="AE353" i="21"/>
  <c r="AE352" i="21"/>
  <c r="AE351" i="21"/>
  <c r="AE350" i="21"/>
  <c r="AE349" i="21"/>
  <c r="AE348" i="21"/>
  <c r="AE394" i="21"/>
  <c r="AE375" i="21"/>
  <c r="AE398" i="21"/>
  <c r="AE325" i="21"/>
  <c r="AE324" i="21"/>
  <c r="AE323" i="21"/>
  <c r="AE322" i="21"/>
  <c r="AE321" i="21"/>
  <c r="AE320" i="21"/>
  <c r="AE319" i="21"/>
  <c r="AE310" i="21"/>
  <c r="AE356" i="21"/>
  <c r="AE347" i="21"/>
  <c r="AE346" i="21"/>
  <c r="AE343" i="21"/>
  <c r="AE318" i="21"/>
  <c r="AE317" i="21"/>
  <c r="AE386" i="21"/>
  <c r="AE377" i="21"/>
  <c r="AE316" i="21"/>
  <c r="AE315" i="21"/>
  <c r="AE314" i="21"/>
  <c r="AE313" i="21"/>
  <c r="AE344" i="21"/>
  <c r="AE342" i="21"/>
  <c r="AE341" i="21"/>
  <c r="AE340" i="21"/>
  <c r="AE339" i="21"/>
  <c r="AE338" i="21"/>
  <c r="AE337" i="21"/>
  <c r="AE336" i="21"/>
  <c r="AE333" i="21"/>
  <c r="AE329" i="21"/>
  <c r="AE308" i="21"/>
  <c r="AE297" i="21"/>
  <c r="AE283" i="21"/>
  <c r="AE282" i="21"/>
  <c r="AE281" i="21"/>
  <c r="AE280" i="21"/>
  <c r="AE279" i="21"/>
  <c r="AE278" i="21"/>
  <c r="AE277" i="21"/>
  <c r="AE276" i="21"/>
  <c r="AE275" i="21"/>
  <c r="AE274" i="21"/>
  <c r="AE273" i="21"/>
  <c r="AE272" i="21"/>
  <c r="AE271" i="21"/>
  <c r="AE270" i="21"/>
  <c r="AE269" i="21"/>
  <c r="AE268" i="21"/>
  <c r="AE267" i="21"/>
  <c r="AE266" i="21"/>
  <c r="AE265" i="21"/>
  <c r="AE264" i="21"/>
  <c r="AE332" i="21"/>
  <c r="AE328" i="21"/>
  <c r="AE307" i="21"/>
  <c r="AE306" i="21"/>
  <c r="AE296" i="21"/>
  <c r="AE295" i="21"/>
  <c r="AE335" i="21"/>
  <c r="AE331" i="21"/>
  <c r="AE327" i="21"/>
  <c r="AE312" i="21"/>
  <c r="AE294" i="21"/>
  <c r="AE293" i="21"/>
  <c r="AE292" i="21"/>
  <c r="AE334" i="21"/>
  <c r="AE330" i="21"/>
  <c r="AE326" i="21"/>
  <c r="AE311" i="21"/>
  <c r="AE305" i="21"/>
  <c r="AE302" i="21"/>
  <c r="AE298" i="21"/>
  <c r="AE291" i="21"/>
  <c r="AE290" i="21"/>
  <c r="AE289" i="21"/>
  <c r="AE286" i="21"/>
  <c r="AE263" i="21"/>
  <c r="AE262" i="21"/>
  <c r="AE261" i="21"/>
  <c r="AE260" i="21"/>
  <c r="AE259" i="21"/>
  <c r="AE258" i="21"/>
  <c r="AE257" i="21"/>
  <c r="AE256" i="21"/>
  <c r="AE255" i="21"/>
  <c r="AE254" i="21"/>
  <c r="AE253" i="21"/>
  <c r="AE252" i="21"/>
  <c r="AE251" i="21"/>
  <c r="AE250" i="21"/>
  <c r="AE249" i="21"/>
  <c r="AE248" i="21"/>
  <c r="AE247" i="21"/>
  <c r="AE246" i="21"/>
  <c r="AE301" i="21"/>
  <c r="AE285" i="21"/>
  <c r="AE304" i="21"/>
  <c r="AE300" i="21"/>
  <c r="AE288" i="21"/>
  <c r="AE284" i="21"/>
  <c r="AE237" i="21"/>
  <c r="AE236" i="21"/>
  <c r="AE235" i="21"/>
  <c r="AE234" i="21"/>
  <c r="AE233" i="21"/>
  <c r="AE309" i="21"/>
  <c r="AE303" i="21"/>
  <c r="AE299" i="21"/>
  <c r="AE287" i="21"/>
  <c r="AE243" i="21"/>
  <c r="AE239" i="21"/>
  <c r="AE232" i="21"/>
  <c r="AE242" i="21"/>
  <c r="AE238" i="21"/>
  <c r="AE231" i="21"/>
  <c r="AE230" i="21"/>
  <c r="AE229" i="21"/>
  <c r="AE228" i="21"/>
  <c r="AE227" i="21"/>
  <c r="AE245" i="21"/>
  <c r="AE241" i="21"/>
  <c r="AE226" i="21"/>
  <c r="AE225" i="21"/>
  <c r="AE224" i="21"/>
  <c r="AE223" i="21"/>
  <c r="AE222" i="21"/>
  <c r="AE221" i="21"/>
  <c r="AE220" i="21"/>
  <c r="AE219" i="21"/>
  <c r="AE218" i="21"/>
  <c r="AE217" i="21"/>
  <c r="AE216" i="21"/>
  <c r="AE215" i="21"/>
  <c r="AE214" i="21"/>
  <c r="AE213" i="21"/>
  <c r="AE212" i="21"/>
  <c r="AE211" i="21"/>
  <c r="AE210" i="21"/>
  <c r="AE209" i="21"/>
  <c r="AE208" i="21"/>
  <c r="AE207" i="21"/>
  <c r="AE206" i="21"/>
  <c r="AE205" i="21"/>
  <c r="AE204" i="21"/>
  <c r="AE203" i="21"/>
  <c r="AE202" i="21"/>
  <c r="AE201" i="21"/>
  <c r="AE244" i="21"/>
  <c r="AE240" i="21"/>
  <c r="AE199" i="21"/>
  <c r="AE198" i="21"/>
  <c r="AE186" i="21"/>
  <c r="AE185" i="21"/>
  <c r="AE136" i="21"/>
  <c r="AE135" i="21"/>
  <c r="AE197" i="21"/>
  <c r="AE184" i="21"/>
  <c r="AE183" i="21"/>
  <c r="AE182" i="21"/>
  <c r="AE181" i="21"/>
  <c r="AE180" i="21"/>
  <c r="AE179" i="21"/>
  <c r="AE178" i="21"/>
  <c r="AE177" i="21"/>
  <c r="AE176" i="21"/>
  <c r="AE175" i="21"/>
  <c r="AE174" i="21"/>
  <c r="AE173" i="21"/>
  <c r="AE172" i="21"/>
  <c r="AE171" i="21"/>
  <c r="AE170" i="21"/>
  <c r="AE169" i="21"/>
  <c r="AE168" i="21"/>
  <c r="AE167" i="21"/>
  <c r="AE166" i="21"/>
  <c r="AE165" i="21"/>
  <c r="AE164" i="21"/>
  <c r="AE163" i="21"/>
  <c r="AE162" i="21"/>
  <c r="AE161" i="21"/>
  <c r="AE160" i="21"/>
  <c r="AE159" i="21"/>
  <c r="AE158" i="21"/>
  <c r="AE157" i="21"/>
  <c r="AE156" i="21"/>
  <c r="AE155" i="21"/>
  <c r="AE154" i="21"/>
  <c r="AE196" i="21"/>
  <c r="AE153" i="21"/>
  <c r="AE152" i="21"/>
  <c r="AE151" i="21"/>
  <c r="AE150" i="21"/>
  <c r="AE149" i="21"/>
  <c r="AE148" i="21"/>
  <c r="AE147" i="21"/>
  <c r="AE146" i="21"/>
  <c r="AE145" i="21"/>
  <c r="AE200" i="21"/>
  <c r="AE195" i="21"/>
  <c r="AE194" i="21"/>
  <c r="AE193" i="21"/>
  <c r="AE192" i="21"/>
  <c r="AE191" i="21"/>
  <c r="AE190" i="21"/>
  <c r="AE189" i="21"/>
  <c r="AE188" i="21"/>
  <c r="AE187" i="21"/>
  <c r="AE139" i="21"/>
  <c r="AE105" i="21"/>
  <c r="AE104" i="21"/>
  <c r="AE103" i="21"/>
  <c r="AE102" i="21"/>
  <c r="AE101" i="21"/>
  <c r="AE100" i="21"/>
  <c r="AE99" i="21"/>
  <c r="AE98" i="21"/>
  <c r="AE97" i="21"/>
  <c r="AE96" i="21"/>
  <c r="AE71" i="21"/>
  <c r="AE70" i="21"/>
  <c r="AE69" i="21"/>
  <c r="AE68" i="21"/>
  <c r="AE67" i="21"/>
  <c r="AE66" i="21"/>
  <c r="AE65" i="21"/>
  <c r="AE64" i="21"/>
  <c r="AE63" i="21"/>
  <c r="AE62" i="21"/>
  <c r="AE61" i="21"/>
  <c r="AE60" i="21"/>
  <c r="AE59" i="21"/>
  <c r="AE58" i="21"/>
  <c r="AE57" i="21"/>
  <c r="AE56" i="21"/>
  <c r="AE55" i="21"/>
  <c r="AE54" i="21"/>
  <c r="AE53" i="21"/>
  <c r="AE52" i="21"/>
  <c r="AE51" i="21"/>
  <c r="AE50" i="21"/>
  <c r="AE49" i="21"/>
  <c r="AE48" i="21"/>
  <c r="AE47" i="21"/>
  <c r="AE46" i="21"/>
  <c r="AE45" i="21"/>
  <c r="AE44" i="21"/>
  <c r="AE144" i="21"/>
  <c r="AE142" i="21"/>
  <c r="AE138" i="21"/>
  <c r="AE95" i="21"/>
  <c r="AE94" i="21"/>
  <c r="AE93" i="21"/>
  <c r="AE92" i="21"/>
  <c r="AE91" i="21"/>
  <c r="AE143" i="21"/>
  <c r="AE141" i="21"/>
  <c r="AE137" i="21"/>
  <c r="AE127" i="21"/>
  <c r="AE126" i="21"/>
  <c r="AE125" i="21"/>
  <c r="AE124" i="21"/>
  <c r="AE123" i="21"/>
  <c r="AE122" i="21"/>
  <c r="AE121" i="21"/>
  <c r="AE120" i="21"/>
  <c r="AE119" i="21"/>
  <c r="AE118" i="21"/>
  <c r="AE117" i="21"/>
  <c r="AE116" i="21"/>
  <c r="AE90" i="21"/>
  <c r="AE89" i="21"/>
  <c r="AE88" i="21"/>
  <c r="AE87" i="21"/>
  <c r="AE86" i="21"/>
  <c r="AE85" i="21"/>
  <c r="AE84" i="21"/>
  <c r="AE140" i="21"/>
  <c r="AE134" i="21"/>
  <c r="AE133" i="21"/>
  <c r="AE132" i="21"/>
  <c r="AE131" i="21"/>
  <c r="AE130" i="21"/>
  <c r="AE129" i="21"/>
  <c r="AE128" i="21"/>
  <c r="AE115" i="21"/>
  <c r="AE114" i="21"/>
  <c r="AE113" i="21"/>
  <c r="AE112" i="21"/>
  <c r="AE111" i="21"/>
  <c r="AE110" i="21"/>
  <c r="AE109" i="21"/>
  <c r="AE108" i="21"/>
  <c r="AE107" i="21"/>
  <c r="AE106" i="21"/>
  <c r="AE83" i="21"/>
  <c r="AE82" i="21"/>
  <c r="AE81" i="21"/>
  <c r="AE80" i="21"/>
  <c r="AE79" i="21"/>
  <c r="AE78" i="21"/>
  <c r="AE77" i="21"/>
  <c r="AE76" i="21"/>
  <c r="AE8" i="21"/>
  <c r="U9" i="21"/>
  <c r="AC9" i="21" s="1"/>
  <c r="T10" i="21"/>
  <c r="AB10" i="21" s="1"/>
  <c r="AF10" i="21"/>
  <c r="T11" i="21"/>
  <c r="AB11" i="21" s="1"/>
  <c r="AF11" i="21"/>
  <c r="T12" i="21"/>
  <c r="AB12" i="21" s="1"/>
  <c r="AF12" i="21"/>
  <c r="V13" i="21"/>
  <c r="AD13" i="21" s="1"/>
  <c r="V14" i="21"/>
  <c r="AD14" i="21" s="1"/>
  <c r="V15" i="21"/>
  <c r="AD15" i="21" s="1"/>
  <c r="V16" i="21"/>
  <c r="AD16" i="21" s="1"/>
  <c r="V17" i="21"/>
  <c r="AD17" i="21" s="1"/>
  <c r="V18" i="21"/>
  <c r="AD18" i="21" s="1"/>
  <c r="V19" i="21"/>
  <c r="AD19" i="21" s="1"/>
  <c r="V20" i="21"/>
  <c r="AD20" i="21" s="1"/>
  <c r="U21" i="21"/>
  <c r="AC21" i="21" s="1"/>
  <c r="AG21" i="21"/>
  <c r="U22" i="21"/>
  <c r="AC22" i="21" s="1"/>
  <c r="AG22" i="21"/>
  <c r="U23" i="21"/>
  <c r="AC23" i="21" s="1"/>
  <c r="AG23" i="21"/>
  <c r="U24" i="21"/>
  <c r="AC24" i="21" s="1"/>
  <c r="AG24" i="21"/>
  <c r="U25" i="21"/>
  <c r="AC25" i="21" s="1"/>
  <c r="AG25" i="21"/>
  <c r="U26" i="21"/>
  <c r="AC26" i="21" s="1"/>
  <c r="AG26" i="21"/>
  <c r="U27" i="21"/>
  <c r="AC27" i="21" s="1"/>
  <c r="AG27" i="21"/>
  <c r="U28" i="21"/>
  <c r="AC28" i="21" s="1"/>
  <c r="AG28" i="21"/>
  <c r="U29" i="21"/>
  <c r="AC29" i="21" s="1"/>
  <c r="AG29" i="21"/>
  <c r="U30" i="21"/>
  <c r="AC30" i="21" s="1"/>
  <c r="AG30" i="21"/>
  <c r="U31" i="21"/>
  <c r="AC31" i="21" s="1"/>
  <c r="AG31" i="21"/>
  <c r="U32" i="21"/>
  <c r="AC32" i="21" s="1"/>
  <c r="AG32" i="21"/>
  <c r="U33" i="21"/>
  <c r="AC33" i="21" s="1"/>
  <c r="AG33" i="21"/>
  <c r="U34" i="21"/>
  <c r="AC34" i="21" s="1"/>
  <c r="AG34" i="21"/>
  <c r="U35" i="21"/>
  <c r="AC35" i="21" s="1"/>
  <c r="AG35" i="21"/>
  <c r="U36" i="21"/>
  <c r="AC36" i="21" s="1"/>
  <c r="AG36" i="21"/>
  <c r="U37" i="21"/>
  <c r="AC37" i="21" s="1"/>
  <c r="AG37" i="21"/>
  <c r="U38" i="21"/>
  <c r="AC38" i="21" s="1"/>
  <c r="AG38" i="21"/>
  <c r="U39" i="21"/>
  <c r="AC39" i="21" s="1"/>
  <c r="AG39" i="21"/>
  <c r="U40" i="21"/>
  <c r="AC40" i="21" s="1"/>
  <c r="AG40" i="21"/>
  <c r="U41" i="21"/>
  <c r="AC41" i="21" s="1"/>
  <c r="AG41" i="21"/>
  <c r="U42" i="21"/>
  <c r="AC42" i="21" s="1"/>
  <c r="AG42" i="21"/>
  <c r="U43" i="21"/>
  <c r="AC43" i="21" s="1"/>
  <c r="AG43" i="21"/>
  <c r="U44" i="21"/>
  <c r="AC44" i="21" s="1"/>
  <c r="U45" i="21"/>
  <c r="AC45" i="21" s="1"/>
  <c r="AG46" i="21"/>
  <c r="U47" i="21"/>
  <c r="AC47" i="21" s="1"/>
  <c r="AG48" i="21"/>
  <c r="U49" i="21"/>
  <c r="AC49" i="21" s="1"/>
  <c r="AG50" i="21"/>
  <c r="T52" i="21"/>
  <c r="AB52" i="21" s="1"/>
  <c r="T54" i="21"/>
  <c r="AB54" i="21" s="1"/>
  <c r="T56" i="21"/>
  <c r="AB56" i="21" s="1"/>
  <c r="T58" i="21"/>
  <c r="AB58" i="21" s="1"/>
  <c r="T60" i="21"/>
  <c r="AB60" i="21" s="1"/>
  <c r="T62" i="21"/>
  <c r="AB62" i="21" s="1"/>
  <c r="T64" i="21"/>
  <c r="AB64" i="21" s="1"/>
  <c r="T66" i="21"/>
  <c r="AB66" i="21" s="1"/>
  <c r="T68" i="21"/>
  <c r="AB68" i="21" s="1"/>
  <c r="T70" i="21"/>
  <c r="AB70" i="21" s="1"/>
  <c r="AE75" i="21"/>
  <c r="Z187" i="21" l="1"/>
  <c r="Z310" i="21"/>
  <c r="Z346" i="21"/>
  <c r="AH346" i="21" s="1"/>
  <c r="Z397" i="21"/>
  <c r="AH397" i="21" s="1"/>
  <c r="Z305" i="21"/>
  <c r="Z246" i="21"/>
  <c r="AH246" i="21" s="1"/>
  <c r="Z135" i="21"/>
  <c r="AH135" i="21" s="1"/>
  <c r="Z72" i="21"/>
  <c r="AH72" i="21" s="1"/>
  <c r="Z137" i="21"/>
  <c r="Z345" i="21"/>
  <c r="Z154" i="21"/>
  <c r="Z311" i="21"/>
  <c r="AH311" i="21" s="1"/>
  <c r="Z185" i="21"/>
  <c r="AH185" i="21" s="1"/>
  <c r="Z238" i="21"/>
  <c r="AH238" i="21" s="1"/>
  <c r="Z319" i="21"/>
  <c r="Z201" i="21"/>
  <c r="AH201" i="21" s="1"/>
  <c r="Z375" i="21"/>
  <c r="AH375" i="21" s="1"/>
  <c r="Z297" i="21"/>
  <c r="AH297" i="21" s="1"/>
  <c r="Z106" i="21"/>
  <c r="AH106" i="21" s="1"/>
  <c r="Z357" i="21"/>
  <c r="AH357" i="21" s="1"/>
  <c r="Z5" i="21"/>
  <c r="Z6" i="21"/>
  <c r="Z10" i="21"/>
  <c r="Z14" i="21"/>
  <c r="AH14" i="21" s="1"/>
  <c r="Z18" i="21"/>
  <c r="AH18" i="21" s="1"/>
  <c r="Z22" i="21"/>
  <c r="Z26" i="21"/>
  <c r="AH26" i="21" s="1"/>
  <c r="Z30" i="21"/>
  <c r="AH30" i="21" s="1"/>
  <c r="Z34" i="21"/>
  <c r="Z38" i="21"/>
  <c r="Z42" i="21"/>
  <c r="AH42" i="21" s="1"/>
  <c r="Z46" i="21"/>
  <c r="AH46" i="21" s="1"/>
  <c r="Z50" i="21"/>
  <c r="Z54" i="21"/>
  <c r="AH54" i="21" s="1"/>
  <c r="Z58" i="21"/>
  <c r="AH58" i="21" s="1"/>
  <c r="Z62" i="21"/>
  <c r="AH62" i="21" s="1"/>
  <c r="Z66" i="21"/>
  <c r="AH66" i="21" s="1"/>
  <c r="Z70" i="21"/>
  <c r="AH70" i="21" s="1"/>
  <c r="Z74" i="21"/>
  <c r="Z78" i="21"/>
  <c r="AH78" i="21" s="1"/>
  <c r="Z82" i="21"/>
  <c r="Z86" i="21"/>
  <c r="AH86" i="21" s="1"/>
  <c r="Z90" i="21"/>
  <c r="Z94" i="21"/>
  <c r="AH94" i="21" s="1"/>
  <c r="Z98" i="21"/>
  <c r="Z102" i="21"/>
  <c r="AH102" i="21" s="1"/>
  <c r="Z110" i="21"/>
  <c r="Z114" i="21"/>
  <c r="AH114" i="21" s="1"/>
  <c r="Z118" i="21"/>
  <c r="AH118" i="21" s="1"/>
  <c r="Z122" i="21"/>
  <c r="AH122" i="21" s="1"/>
  <c r="Z126" i="21"/>
  <c r="Z130" i="21"/>
  <c r="AH130" i="21" s="1"/>
  <c r="Z134" i="21"/>
  <c r="Z138" i="21"/>
  <c r="AH138" i="21" s="1"/>
  <c r="Z142" i="21"/>
  <c r="Z146" i="21"/>
  <c r="AH146" i="21" s="1"/>
  <c r="Z150" i="21"/>
  <c r="Z158" i="21"/>
  <c r="Z162" i="21"/>
  <c r="AH162" i="21" s="1"/>
  <c r="Z166" i="21"/>
  <c r="AH166" i="21" s="1"/>
  <c r="Z170" i="21"/>
  <c r="AH170" i="21" s="1"/>
  <c r="Z174" i="21"/>
  <c r="AH174" i="21" s="1"/>
  <c r="Z178" i="21"/>
  <c r="AH178" i="21" s="1"/>
  <c r="Z182" i="21"/>
  <c r="AH182" i="21" s="1"/>
  <c r="Z186" i="21"/>
  <c r="Z190" i="21"/>
  <c r="Z194" i="21"/>
  <c r="AH194" i="21" s="1"/>
  <c r="Z198" i="21"/>
  <c r="AH198" i="21" s="1"/>
  <c r="Z202" i="21"/>
  <c r="Z206" i="21"/>
  <c r="AH206" i="21" s="1"/>
  <c r="Z210" i="21"/>
  <c r="Z214" i="21"/>
  <c r="AH214" i="21" s="1"/>
  <c r="Z218" i="21"/>
  <c r="AH218" i="21" s="1"/>
  <c r="Z222" i="21"/>
  <c r="AH222" i="21" s="1"/>
  <c r="Z226" i="21"/>
  <c r="AH226" i="21" s="1"/>
  <c r="Z230" i="21"/>
  <c r="AH230" i="21" s="1"/>
  <c r="Z234" i="21"/>
  <c r="Z242" i="21"/>
  <c r="AH242" i="21" s="1"/>
  <c r="Z250" i="21"/>
  <c r="AH250" i="21" s="1"/>
  <c r="Z254" i="21"/>
  <c r="AH254" i="21" s="1"/>
  <c r="Z258" i="21"/>
  <c r="Z262" i="21"/>
  <c r="AH262" i="21" s="1"/>
  <c r="Z266" i="21"/>
  <c r="Z270" i="21"/>
  <c r="AH270" i="21" s="1"/>
  <c r="Z274" i="21"/>
  <c r="Z278" i="21"/>
  <c r="AH278" i="21" s="1"/>
  <c r="Z282" i="21"/>
  <c r="AH282" i="21" s="1"/>
  <c r="Z286" i="21"/>
  <c r="AH286" i="21" s="1"/>
  <c r="Z290" i="21"/>
  <c r="Z294" i="21"/>
  <c r="Z302" i="21"/>
  <c r="Z314" i="21"/>
  <c r="AH314" i="21" s="1"/>
  <c r="Z318" i="21"/>
  <c r="Z322" i="21"/>
  <c r="AH322" i="21" s="1"/>
  <c r="Z330" i="21"/>
  <c r="Z334" i="21"/>
  <c r="AH334" i="21" s="1"/>
  <c r="Z338" i="21"/>
  <c r="AH338" i="21" s="1"/>
  <c r="Z342" i="21"/>
  <c r="AH342" i="21" s="1"/>
  <c r="Z7" i="21"/>
  <c r="AH7" i="21" s="1"/>
  <c r="Z8" i="21"/>
  <c r="AH8" i="21" s="1"/>
  <c r="Z13" i="21"/>
  <c r="Z19" i="21"/>
  <c r="AH19" i="21" s="1"/>
  <c r="Z24" i="21"/>
  <c r="AH24" i="21" s="1"/>
  <c r="Z29" i="21"/>
  <c r="AH29" i="21" s="1"/>
  <c r="Z35" i="21"/>
  <c r="Z40" i="21"/>
  <c r="Z45" i="21"/>
  <c r="AH45" i="21" s="1"/>
  <c r="Z51" i="21"/>
  <c r="AH51" i="21" s="1"/>
  <c r="Z56" i="21"/>
  <c r="Z61" i="21"/>
  <c r="AH61" i="21" s="1"/>
  <c r="Z67" i="21"/>
  <c r="AH67" i="21" s="1"/>
  <c r="Z77" i="21"/>
  <c r="AH77" i="21" s="1"/>
  <c r="Z83" i="21"/>
  <c r="AH83" i="21" s="1"/>
  <c r="Z88" i="21"/>
  <c r="Z93" i="21"/>
  <c r="AH93" i="21" s="1"/>
  <c r="Z99" i="21"/>
  <c r="AH99" i="21" s="1"/>
  <c r="Z104" i="21"/>
  <c r="Z109" i="21"/>
  <c r="Z115" i="21"/>
  <c r="AH115" i="21" s="1"/>
  <c r="Z120" i="21"/>
  <c r="AH120" i="21" s="1"/>
  <c r="Z125" i="21"/>
  <c r="AH125" i="21" s="1"/>
  <c r="Z131" i="21"/>
  <c r="AH131" i="21" s="1"/>
  <c r="Z136" i="21"/>
  <c r="AH136" i="21" s="1"/>
  <c r="Z141" i="21"/>
  <c r="AH141" i="21" s="1"/>
  <c r="Z147" i="21"/>
  <c r="AH147" i="21" s="1"/>
  <c r="Z152" i="21"/>
  <c r="AH152" i="21" s="1"/>
  <c r="Z157" i="21"/>
  <c r="AH157" i="21" s="1"/>
  <c r="Z163" i="21"/>
  <c r="AH163" i="21" s="1"/>
  <c r="Z168" i="21"/>
  <c r="Z173" i="21"/>
  <c r="Z179" i="21"/>
  <c r="AH179" i="21" s="1"/>
  <c r="Z184" i="21"/>
  <c r="AH184" i="21" s="1"/>
  <c r="Z189" i="21"/>
  <c r="AH189" i="21" s="1"/>
  <c r="Z195" i="21"/>
  <c r="AH195" i="21" s="1"/>
  <c r="Z200" i="21"/>
  <c r="AH200" i="21" s="1"/>
  <c r="Z205" i="21"/>
  <c r="AH205" i="21" s="1"/>
  <c r="Z211" i="21"/>
  <c r="Z216" i="21"/>
  <c r="AH216" i="21" s="1"/>
  <c r="Z221" i="21"/>
  <c r="AH221" i="21" s="1"/>
  <c r="Z232" i="21"/>
  <c r="AH232" i="21" s="1"/>
  <c r="Z237" i="21"/>
  <c r="Z243" i="21"/>
  <c r="AH243" i="21" s="1"/>
  <c r="Z248" i="21"/>
  <c r="AH248" i="21" s="1"/>
  <c r="Z253" i="21"/>
  <c r="AH253" i="21" s="1"/>
  <c r="Z259" i="21"/>
  <c r="AH259" i="21" s="1"/>
  <c r="Z264" i="21"/>
  <c r="AH264" i="21" s="1"/>
  <c r="Z269" i="21"/>
  <c r="AH269" i="21" s="1"/>
  <c r="Z275" i="21"/>
  <c r="AH275" i="21" s="1"/>
  <c r="Z280" i="21"/>
  <c r="Z285" i="21"/>
  <c r="AH285" i="21" s="1"/>
  <c r="Z291" i="21"/>
  <c r="AH291" i="21" s="1"/>
  <c r="Z296" i="21"/>
  <c r="AH296" i="21" s="1"/>
  <c r="Z301" i="21"/>
  <c r="Z307" i="21"/>
  <c r="AH307" i="21" s="1"/>
  <c r="Z312" i="21"/>
  <c r="AH312" i="21" s="1"/>
  <c r="Z323" i="21"/>
  <c r="AH323" i="21" s="1"/>
  <c r="Z328" i="21"/>
  <c r="Z333" i="21"/>
  <c r="AH333" i="21" s="1"/>
  <c r="Z339" i="21"/>
  <c r="Z344" i="21"/>
  <c r="AH344" i="21" s="1"/>
  <c r="Z352" i="21"/>
  <c r="Z9" i="21"/>
  <c r="Z15" i="21"/>
  <c r="AH15" i="21" s="1"/>
  <c r="Z20" i="21"/>
  <c r="AH20" i="21" s="1"/>
  <c r="Z25" i="21"/>
  <c r="Z31" i="21"/>
  <c r="AH31" i="21" s="1"/>
  <c r="Z36" i="21"/>
  <c r="Z41" i="21"/>
  <c r="AH41" i="21" s="1"/>
  <c r="Z47" i="21"/>
  <c r="AH47" i="21" s="1"/>
  <c r="Z52" i="21"/>
  <c r="AH52" i="21" s="1"/>
  <c r="Z57" i="21"/>
  <c r="AH57" i="21" s="1"/>
  <c r="Z63" i="21"/>
  <c r="AH63" i="21" s="1"/>
  <c r="Z68" i="21"/>
  <c r="AH68" i="21" s="1"/>
  <c r="Z73" i="21"/>
  <c r="AH73" i="21" s="1"/>
  <c r="Z79" i="21"/>
  <c r="Z89" i="21"/>
  <c r="AH89" i="21" s="1"/>
  <c r="Z95" i="21"/>
  <c r="Z100" i="21"/>
  <c r="AH100" i="21" s="1"/>
  <c r="Z105" i="21"/>
  <c r="AH105" i="21" s="1"/>
  <c r="Z111" i="21"/>
  <c r="AH111" i="21" s="1"/>
  <c r="Z121" i="21"/>
  <c r="Z127" i="21"/>
  <c r="AH127" i="21" s="1"/>
  <c r="Z132" i="21"/>
  <c r="AH132" i="21" s="1"/>
  <c r="Z143" i="21"/>
  <c r="AH143" i="21" s="1"/>
  <c r="Z148" i="21"/>
  <c r="AH148" i="21" s="1"/>
  <c r="Z153" i="21"/>
  <c r="AH153" i="21" s="1"/>
  <c r="Z159" i="21"/>
  <c r="AH159" i="21" s="1"/>
  <c r="Z164" i="21"/>
  <c r="AH164" i="21" s="1"/>
  <c r="Z169" i="21"/>
  <c r="AH169" i="21" s="1"/>
  <c r="Z175" i="21"/>
  <c r="AH175" i="21" s="1"/>
  <c r="Z180" i="21"/>
  <c r="AH180" i="21" s="1"/>
  <c r="Z191" i="21"/>
  <c r="AH191" i="21" s="1"/>
  <c r="Z207" i="21"/>
  <c r="AH207" i="21" s="1"/>
  <c r="Z212" i="21"/>
  <c r="AH212" i="21" s="1"/>
  <c r="Z217" i="21"/>
  <c r="AH217" i="21" s="1"/>
  <c r="Z223" i="21"/>
  <c r="AH223" i="21" s="1"/>
  <c r="Z228" i="21"/>
  <c r="AH228" i="21" s="1"/>
  <c r="Z233" i="21"/>
  <c r="AH233" i="21" s="1"/>
  <c r="Z239" i="21"/>
  <c r="AH239" i="21" s="1"/>
  <c r="Z244" i="21"/>
  <c r="AH244" i="21" s="1"/>
  <c r="Z249" i="21"/>
  <c r="AH249" i="21" s="1"/>
  <c r="Z255" i="21"/>
  <c r="AH255" i="21" s="1"/>
  <c r="Z260" i="21"/>
  <c r="AH260" i="21" s="1"/>
  <c r="Z265" i="21"/>
  <c r="AH265" i="21" s="1"/>
  <c r="Z271" i="21"/>
  <c r="AH271" i="21" s="1"/>
  <c r="Z276" i="21"/>
  <c r="AH276" i="21" s="1"/>
  <c r="Z281" i="21"/>
  <c r="Z287" i="21"/>
  <c r="AH287" i="21" s="1"/>
  <c r="Z292" i="21"/>
  <c r="AH292" i="21" s="1"/>
  <c r="Z303" i="21"/>
  <c r="AH303" i="21" s="1"/>
  <c r="Z324" i="21"/>
  <c r="AH324" i="21" s="1"/>
  <c r="Z329" i="21"/>
  <c r="AH329" i="21" s="1"/>
  <c r="Z335" i="21"/>
  <c r="Z340" i="21"/>
  <c r="AH340" i="21" s="1"/>
  <c r="Z349" i="21"/>
  <c r="AH349" i="21" s="1"/>
  <c r="Z353" i="21"/>
  <c r="AH353" i="21" s="1"/>
  <c r="Z361" i="21"/>
  <c r="AH361" i="21" s="1"/>
  <c r="Z365" i="21"/>
  <c r="AH365" i="21" s="1"/>
  <c r="Z369" i="21"/>
  <c r="AH369" i="21" s="1"/>
  <c r="Z373" i="21"/>
  <c r="AH373" i="21" s="1"/>
  <c r="Z377" i="21"/>
  <c r="Z381" i="21"/>
  <c r="AH381" i="21" s="1"/>
  <c r="Z385" i="21"/>
  <c r="AH385" i="21" s="1"/>
  <c r="Z389" i="21"/>
  <c r="AH389" i="21" s="1"/>
  <c r="Z393" i="21"/>
  <c r="Z401" i="21"/>
  <c r="AH401" i="21" s="1"/>
  <c r="Z11" i="21"/>
  <c r="AH11" i="21" s="1"/>
  <c r="Z16" i="21"/>
  <c r="AH16" i="21" s="1"/>
  <c r="Z27" i="21"/>
  <c r="AH27" i="21" s="1"/>
  <c r="Z32" i="21"/>
  <c r="AH32" i="21" s="1"/>
  <c r="Z37" i="21"/>
  <c r="AH37" i="21" s="1"/>
  <c r="Z43" i="21"/>
  <c r="AH43" i="21" s="1"/>
  <c r="Z48" i="21"/>
  <c r="AH48" i="21" s="1"/>
  <c r="Z53" i="21"/>
  <c r="AH53" i="21" s="1"/>
  <c r="Z59" i="21"/>
  <c r="AH59" i="21" s="1"/>
  <c r="Z64" i="21"/>
  <c r="AH64" i="21" s="1"/>
  <c r="Z69" i="21"/>
  <c r="AH69" i="21" s="1"/>
  <c r="Z75" i="21"/>
  <c r="Z80" i="21"/>
  <c r="AH80" i="21" s="1"/>
  <c r="Z85" i="21"/>
  <c r="AH85" i="21" s="1"/>
  <c r="Z101" i="21"/>
  <c r="AH101" i="21" s="1"/>
  <c r="Z107" i="21"/>
  <c r="AH107" i="21" s="1"/>
  <c r="Z112" i="21"/>
  <c r="AH112" i="21" s="1"/>
  <c r="Z117" i="21"/>
  <c r="AH117" i="21" s="1"/>
  <c r="Z123" i="21"/>
  <c r="AH123" i="21" s="1"/>
  <c r="Z128" i="21"/>
  <c r="AH128" i="21" s="1"/>
  <c r="Z133" i="21"/>
  <c r="AH133" i="21" s="1"/>
  <c r="Z139" i="21"/>
  <c r="AH139" i="21" s="1"/>
  <c r="Z144" i="21"/>
  <c r="AH144" i="21" s="1"/>
  <c r="Z149" i="21"/>
  <c r="AH149" i="21" s="1"/>
  <c r="Z155" i="21"/>
  <c r="AH155" i="21" s="1"/>
  <c r="Z160" i="21"/>
  <c r="AH160" i="21" s="1"/>
  <c r="Z165" i="21"/>
  <c r="AH165" i="21" s="1"/>
  <c r="Z171" i="21"/>
  <c r="AH171" i="21" s="1"/>
  <c r="Z176" i="21"/>
  <c r="Z181" i="21"/>
  <c r="AH181" i="21" s="1"/>
  <c r="Z192" i="21"/>
  <c r="AH192" i="21" s="1"/>
  <c r="Z197" i="21"/>
  <c r="AH197" i="21" s="1"/>
  <c r="Z203" i="21"/>
  <c r="AH203" i="21" s="1"/>
  <c r="Z208" i="21"/>
  <c r="AH208" i="21" s="1"/>
  <c r="Z213" i="21"/>
  <c r="AH213" i="21" s="1"/>
  <c r="Z219" i="21"/>
  <c r="AH219" i="21" s="1"/>
  <c r="Z224" i="21"/>
  <c r="AH224" i="21" s="1"/>
  <c r="Z229" i="21"/>
  <c r="AH229" i="21" s="1"/>
  <c r="Z235" i="21"/>
  <c r="Z240" i="21"/>
  <c r="AH240" i="21" s="1"/>
  <c r="Z245" i="21"/>
  <c r="AH245" i="21" s="1"/>
  <c r="Z251" i="21"/>
  <c r="AH251" i="21" s="1"/>
  <c r="Z256" i="21"/>
  <c r="AH256" i="21" s="1"/>
  <c r="Z261" i="21"/>
  <c r="AH261" i="21" s="1"/>
  <c r="Z267" i="21"/>
  <c r="AH267" i="21" s="1"/>
  <c r="Z272" i="21"/>
  <c r="AH272" i="21" s="1"/>
  <c r="Z277" i="21"/>
  <c r="Z283" i="21"/>
  <c r="AH283" i="21" s="1"/>
  <c r="Z288" i="21"/>
  <c r="AH288" i="21" s="1"/>
  <c r="Z293" i="21"/>
  <c r="AH293" i="21" s="1"/>
  <c r="Z299" i="21"/>
  <c r="AH299" i="21" s="1"/>
  <c r="Z304" i="21"/>
  <c r="AH304" i="21" s="1"/>
  <c r="Z309" i="21"/>
  <c r="AH309" i="21" s="1"/>
  <c r="Z315" i="21"/>
  <c r="AH315" i="21" s="1"/>
  <c r="Z320" i="21"/>
  <c r="Z325" i="21"/>
  <c r="AH325" i="21" s="1"/>
  <c r="Z331" i="21"/>
  <c r="AH331" i="21" s="1"/>
  <c r="Z336" i="21"/>
  <c r="AH336" i="21" s="1"/>
  <c r="Z341" i="21"/>
  <c r="AH341" i="21" s="1"/>
  <c r="Z350" i="21"/>
  <c r="AH350" i="21" s="1"/>
  <c r="Z354" i="21"/>
  <c r="AH354" i="21" s="1"/>
  <c r="Z358" i="21"/>
  <c r="AH358" i="21" s="1"/>
  <c r="Z362" i="21"/>
  <c r="AH362" i="21" s="1"/>
  <c r="Z366" i="21"/>
  <c r="AH366" i="21" s="1"/>
  <c r="Z370" i="21"/>
  <c r="AH370" i="21" s="1"/>
  <c r="Z374" i="21"/>
  <c r="AH374" i="21" s="1"/>
  <c r="Z378" i="21"/>
  <c r="AH378" i="21" s="1"/>
  <c r="Z382" i="21"/>
  <c r="AH382" i="21" s="1"/>
  <c r="Z386" i="21"/>
  <c r="AH386" i="21" s="1"/>
  <c r="Z390" i="21"/>
  <c r="AH390" i="21" s="1"/>
  <c r="Z394" i="21"/>
  <c r="AH394" i="21" s="1"/>
  <c r="Z398" i="21"/>
  <c r="AH398" i="21" s="1"/>
  <c r="Z402" i="21"/>
  <c r="AH402" i="21" s="1"/>
  <c r="Z12" i="21"/>
  <c r="AH12" i="21" s="1"/>
  <c r="Z33" i="21"/>
  <c r="AH33" i="21" s="1"/>
  <c r="Z55" i="21"/>
  <c r="AH55" i="21" s="1"/>
  <c r="Z76" i="21"/>
  <c r="AH76" i="21" s="1"/>
  <c r="Z97" i="21"/>
  <c r="AH97" i="21" s="1"/>
  <c r="Z119" i="21"/>
  <c r="AH119" i="21" s="1"/>
  <c r="Z140" i="21"/>
  <c r="AH140" i="21" s="1"/>
  <c r="Z161" i="21"/>
  <c r="AH161" i="21" s="1"/>
  <c r="Z183" i="21"/>
  <c r="AH183" i="21" s="1"/>
  <c r="Z204" i="21"/>
  <c r="AH204" i="21" s="1"/>
  <c r="Z225" i="21"/>
  <c r="AH225" i="21" s="1"/>
  <c r="Z247" i="21"/>
  <c r="AH247" i="21" s="1"/>
  <c r="Z268" i="21"/>
  <c r="AH268" i="21" s="1"/>
  <c r="Z332" i="21"/>
  <c r="AH332" i="21" s="1"/>
  <c r="Z351" i="21"/>
  <c r="AH351" i="21" s="1"/>
  <c r="Z360" i="21"/>
  <c r="AH360" i="21" s="1"/>
  <c r="Z368" i="21"/>
  <c r="AH368" i="21" s="1"/>
  <c r="Z376" i="21"/>
  <c r="AH376" i="21" s="1"/>
  <c r="Z384" i="21"/>
  <c r="AH384" i="21" s="1"/>
  <c r="Z392" i="21"/>
  <c r="AH392" i="21" s="1"/>
  <c r="Z400" i="21"/>
  <c r="AH400" i="21" s="1"/>
  <c r="Z17" i="21"/>
  <c r="Z39" i="21"/>
  <c r="AH39" i="21" s="1"/>
  <c r="Z60" i="21"/>
  <c r="AH60" i="21" s="1"/>
  <c r="Z81" i="21"/>
  <c r="AH81" i="21" s="1"/>
  <c r="Z103" i="21"/>
  <c r="AH103" i="21" s="1"/>
  <c r="Z124" i="21"/>
  <c r="AH124" i="21" s="1"/>
  <c r="Z167" i="21"/>
  <c r="AH167" i="21" s="1"/>
  <c r="Z188" i="21"/>
  <c r="AH188" i="21" s="1"/>
  <c r="Z209" i="21"/>
  <c r="AH209" i="21" s="1"/>
  <c r="Z231" i="21"/>
  <c r="AH231" i="21" s="1"/>
  <c r="Z252" i="21"/>
  <c r="AH252" i="21" s="1"/>
  <c r="Z273" i="21"/>
  <c r="AH273" i="21" s="1"/>
  <c r="Z316" i="21"/>
  <c r="AH316" i="21" s="1"/>
  <c r="Z337" i="21"/>
  <c r="Z355" i="21"/>
  <c r="AH355" i="21" s="1"/>
  <c r="Z363" i="21"/>
  <c r="AH363" i="21" s="1"/>
  <c r="Z371" i="21"/>
  <c r="AH371" i="21" s="1"/>
  <c r="Z379" i="21"/>
  <c r="AH379" i="21" s="1"/>
  <c r="Z387" i="21"/>
  <c r="AH387" i="21" s="1"/>
  <c r="Z395" i="21"/>
  <c r="AH395" i="21" s="1"/>
  <c r="Z403" i="21"/>
  <c r="AH403" i="21" s="1"/>
  <c r="Z23" i="21"/>
  <c r="AH23" i="21" s="1"/>
  <c r="Z65" i="21"/>
  <c r="AH65" i="21" s="1"/>
  <c r="Z108" i="21"/>
  <c r="AH108" i="21" s="1"/>
  <c r="Z151" i="21"/>
  <c r="AH151" i="21" s="1"/>
  <c r="Z193" i="21"/>
  <c r="AH193" i="21" s="1"/>
  <c r="Z236" i="21"/>
  <c r="AH236" i="21" s="1"/>
  <c r="Z279" i="21"/>
  <c r="AH279" i="21" s="1"/>
  <c r="Z321" i="21"/>
  <c r="AH321" i="21" s="1"/>
  <c r="Z372" i="21"/>
  <c r="AH372" i="21" s="1"/>
  <c r="Z388" i="21"/>
  <c r="AH388" i="21" s="1"/>
  <c r="Z4" i="21"/>
  <c r="AH4" i="21" s="1"/>
  <c r="Z28" i="21"/>
  <c r="AH28" i="21" s="1"/>
  <c r="Z71" i="21"/>
  <c r="AH71" i="21" s="1"/>
  <c r="Z113" i="21"/>
  <c r="AH113" i="21" s="1"/>
  <c r="Z156" i="21"/>
  <c r="AH156" i="21" s="1"/>
  <c r="Z199" i="21"/>
  <c r="AH199" i="21" s="1"/>
  <c r="Z241" i="21"/>
  <c r="AH241" i="21" s="1"/>
  <c r="Z327" i="21"/>
  <c r="AH327" i="21" s="1"/>
  <c r="Z359" i="21"/>
  <c r="AH359" i="21" s="1"/>
  <c r="Z391" i="21"/>
  <c r="AH391" i="21" s="1"/>
  <c r="Z44" i="21"/>
  <c r="AH44" i="21" s="1"/>
  <c r="Z87" i="21"/>
  <c r="AH87" i="21" s="1"/>
  <c r="Z129" i="21"/>
  <c r="AH129" i="21" s="1"/>
  <c r="Z172" i="21"/>
  <c r="AH172" i="21" s="1"/>
  <c r="Z215" i="21"/>
  <c r="AH215" i="21" s="1"/>
  <c r="Z257" i="21"/>
  <c r="AH257" i="21" s="1"/>
  <c r="Z300" i="21"/>
  <c r="AH300" i="21" s="1"/>
  <c r="Z343" i="21"/>
  <c r="AH343" i="21" s="1"/>
  <c r="Z364" i="21"/>
  <c r="AH364" i="21" s="1"/>
  <c r="Z380" i="21"/>
  <c r="AH380" i="21" s="1"/>
  <c r="Z396" i="21"/>
  <c r="AH396" i="21" s="1"/>
  <c r="Z49" i="21"/>
  <c r="AH49" i="21" s="1"/>
  <c r="Z92" i="21"/>
  <c r="AH92" i="21" s="1"/>
  <c r="Z177" i="21"/>
  <c r="AH177" i="21" s="1"/>
  <c r="Z220" i="21"/>
  <c r="AH220" i="21" s="1"/>
  <c r="Z263" i="21"/>
  <c r="AH263" i="21" s="1"/>
  <c r="Z347" i="21"/>
  <c r="AH347" i="21" s="1"/>
  <c r="Z367" i="21"/>
  <c r="AH367" i="21" s="1"/>
  <c r="Z356" i="21"/>
  <c r="AH356" i="21" s="1"/>
  <c r="Z289" i="21"/>
  <c r="AH289" i="21" s="1"/>
  <c r="Z91" i="21"/>
  <c r="AH91" i="21" s="1"/>
  <c r="Z383" i="21"/>
  <c r="AH383" i="21" s="1"/>
  <c r="Z298" i="21"/>
  <c r="AH298" i="21" s="1"/>
  <c r="Z116" i="21"/>
  <c r="AH116" i="21" s="1"/>
  <c r="Z317" i="21"/>
  <c r="AH317" i="21" s="1"/>
  <c r="Z196" i="21"/>
  <c r="AH196" i="21" s="1"/>
  <c r="Z96" i="21"/>
  <c r="AH96" i="21" s="1"/>
  <c r="Z313" i="21"/>
  <c r="AH313" i="21" s="1"/>
  <c r="Z326" i="21"/>
  <c r="AH326" i="21" s="1"/>
  <c r="Z227" i="21"/>
  <c r="AH227" i="21" s="1"/>
  <c r="Z306" i="21"/>
  <c r="AH306" i="21" s="1"/>
  <c r="Z348" i="21"/>
  <c r="AH348" i="21" s="1"/>
  <c r="Z284" i="21"/>
  <c r="AH284" i="21" s="1"/>
  <c r="Z84" i="21"/>
  <c r="AH84" i="21" s="1"/>
  <c r="Z308" i="21"/>
  <c r="AH308" i="21" s="1"/>
  <c r="Z145" i="21"/>
  <c r="AH145" i="21" s="1"/>
  <c r="Z399" i="21"/>
  <c r="AH399" i="21" s="1"/>
  <c r="Z295" i="21"/>
  <c r="AH295" i="21" s="1"/>
  <c r="Z21" i="21"/>
  <c r="AH21" i="21" s="1"/>
  <c r="AH393" i="21"/>
  <c r="AH137" i="21"/>
  <c r="AH126" i="21"/>
  <c r="AH150" i="21"/>
  <c r="AH187" i="21"/>
  <c r="AH35" i="21"/>
  <c r="AH25" i="21"/>
  <c r="AH88" i="21"/>
  <c r="AH121" i="21"/>
  <c r="AH75" i="21"/>
  <c r="AH235" i="21"/>
  <c r="AH290" i="21"/>
  <c r="AH335" i="21"/>
  <c r="AH10" i="21"/>
  <c r="AH168" i="21"/>
  <c r="AH176" i="21"/>
  <c r="AH95" i="21"/>
  <c r="AH98" i="21"/>
  <c r="AH274" i="21"/>
  <c r="AH305" i="21"/>
  <c r="AH17" i="21"/>
  <c r="AH13" i="21"/>
  <c r="AH9" i="21"/>
  <c r="AH40" i="21"/>
  <c r="AH38" i="21"/>
  <c r="AH36" i="21"/>
  <c r="AH34" i="21"/>
  <c r="AH22" i="21"/>
  <c r="AH56" i="21"/>
  <c r="AH79" i="21"/>
  <c r="AH110" i="21"/>
  <c r="AH202" i="21"/>
  <c r="AH211" i="21"/>
  <c r="AH328" i="21"/>
  <c r="AH294" i="21"/>
  <c r="AH339" i="21"/>
  <c r="AH330" i="21"/>
  <c r="AH320" i="21"/>
  <c r="AH345" i="21"/>
  <c r="AH302" i="21"/>
  <c r="AH280" i="21"/>
  <c r="AH266" i="21"/>
  <c r="AH281" i="21"/>
  <c r="AH234" i="21"/>
  <c r="AH190" i="21"/>
  <c r="AH186" i="21"/>
  <c r="AH158" i="21"/>
  <c r="AH154" i="21"/>
  <c r="AH109" i="21"/>
  <c r="AH82" i="21"/>
  <c r="AH74" i="21"/>
  <c r="AH134" i="21"/>
  <c r="AH104" i="21"/>
  <c r="AH6" i="21"/>
  <c r="AH377" i="21"/>
  <c r="AH352" i="21"/>
  <c r="AH337" i="21"/>
  <c r="AH319" i="21"/>
  <c r="AH318" i="21"/>
  <c r="AH301" i="21"/>
  <c r="AH310" i="21"/>
  <c r="AH258" i="21"/>
  <c r="AH277" i="21"/>
  <c r="AH237" i="21"/>
  <c r="AH142" i="21"/>
  <c r="AH173" i="21"/>
  <c r="AH210" i="21"/>
  <c r="AH50" i="21"/>
  <c r="AH90" i="21"/>
  <c r="AH5" i="21"/>
  <c r="P403" i="2" l="1"/>
  <c r="AA12" i="2"/>
  <c r="U6" i="2" l="1"/>
  <c r="V12" i="2" l="1"/>
  <c r="U12" i="2"/>
  <c r="U21" i="2" l="1"/>
  <c r="AA29" i="2" l="1"/>
  <c r="AA31" i="2" s="1"/>
  <c r="AA28" i="2"/>
  <c r="AA30" i="2" s="1"/>
  <c r="Z29" i="2"/>
  <c r="Z31" i="2" s="1"/>
  <c r="Z28" i="2"/>
  <c r="Z30" i="2" s="1"/>
  <c r="Y29" i="2"/>
  <c r="Y31" i="2" s="1"/>
  <c r="Y28" i="2"/>
  <c r="Y30" i="2" s="1"/>
  <c r="X29" i="2"/>
  <c r="X31" i="2" s="1"/>
  <c r="X28" i="2"/>
  <c r="X30" i="2" s="1"/>
  <c r="W29" i="2"/>
  <c r="W31" i="2" s="1"/>
  <c r="V29" i="2"/>
  <c r="V31" i="2" s="1"/>
  <c r="U29" i="2"/>
  <c r="U31" i="2" s="1"/>
  <c r="W28" i="2"/>
  <c r="W30" i="2" s="1"/>
  <c r="V28" i="2"/>
  <c r="V30" i="2" s="1"/>
  <c r="U28" i="2"/>
  <c r="AC22" i="2"/>
  <c r="AC24" i="2" s="1"/>
  <c r="AC21" i="2"/>
  <c r="AC23" i="2" s="1"/>
  <c r="AB22" i="2"/>
  <c r="AB24" i="2" s="1"/>
  <c r="AB21" i="2"/>
  <c r="AB23" i="2" s="1"/>
  <c r="AA22" i="2"/>
  <c r="AA24" i="2" s="1"/>
  <c r="AA21" i="2"/>
  <c r="AA23" i="2" s="1"/>
  <c r="V22" i="2"/>
  <c r="V24" i="2" s="1"/>
  <c r="U22" i="2"/>
  <c r="U24" i="2" s="1"/>
  <c r="W22" i="2"/>
  <c r="W24" i="2" s="1"/>
  <c r="W21" i="2"/>
  <c r="W23" i="2" s="1"/>
  <c r="V21" i="2"/>
  <c r="V23" i="2" s="1"/>
  <c r="U30" i="2" l="1"/>
  <c r="AB29" i="2"/>
  <c r="X22" i="2"/>
  <c r="U23" i="2"/>
  <c r="AD22" i="2"/>
  <c r="V6" i="2" l="1"/>
  <c r="V5" i="2"/>
  <c r="AA13" i="2" l="1"/>
  <c r="AA15" i="2" s="1"/>
  <c r="Z13" i="2"/>
  <c r="Z15" i="2" s="1"/>
  <c r="Y13" i="2"/>
  <c r="Y15" i="2" s="1"/>
  <c r="X13" i="2"/>
  <c r="X15" i="2" s="1"/>
  <c r="W13" i="2"/>
  <c r="W15" i="2" s="1"/>
  <c r="V13" i="2"/>
  <c r="V15" i="2" s="1"/>
  <c r="U13" i="2"/>
  <c r="U15" i="2" s="1"/>
  <c r="AA14" i="2"/>
  <c r="Z12" i="2"/>
  <c r="Z14" i="2" s="1"/>
  <c r="Y12" i="2"/>
  <c r="Y14" i="2" s="1"/>
  <c r="X12" i="2"/>
  <c r="W14" i="2"/>
  <c r="V14" i="2"/>
  <c r="U14" i="2"/>
  <c r="AC6" i="2"/>
  <c r="AC8" i="2" s="1"/>
  <c r="AB6" i="2"/>
  <c r="AB8" i="2" s="1"/>
  <c r="AA6" i="2"/>
  <c r="AA8" i="2" s="1"/>
  <c r="W6" i="2"/>
  <c r="X6" i="2" s="1"/>
  <c r="V8" i="2"/>
  <c r="U8" i="2"/>
  <c r="AC5" i="2"/>
  <c r="AC7" i="2" s="1"/>
  <c r="AB5" i="2"/>
  <c r="AB7" i="2" s="1"/>
  <c r="AA5" i="2"/>
  <c r="AA7" i="2" s="1"/>
  <c r="W7" i="2"/>
  <c r="V7" i="2"/>
  <c r="AB13" i="2" l="1"/>
  <c r="X14" i="2"/>
  <c r="W8" i="2"/>
  <c r="U7" i="2"/>
  <c r="AD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Benoit Laleu</author>
  </authors>
  <commentList>
    <comment ref="A3" authorId="0" shapeId="0" xr:uid="{00000000-0006-0000-0700-000001000000}">
      <text>
        <r>
          <rPr>
            <b/>
            <sz val="9"/>
            <color rgb="FF000000"/>
            <rFont val="Tahoma"/>
            <family val="2"/>
          </rPr>
          <t>QzIwSDE5TjNPNlMyfFNDSElTVE9TT01JQVNJU1BpY3R1cmUgMTB8Vm1wRFJEQXhNREFFQXdJQkFBQUFBQUFBQUFBQUFBQ0FBQUFBQUFNQUZnQUFBRU5vWlcxRWNtRjNJREV5TGpBdU1pNHhNRGMyQkFJUUFMUnpsUC9haWN2L2N3NWtBRTRxOFFBQkNRZ0FBQUFBQUFBQUFBQUNDUWdBQUFEY0FnQUFLQUlOQ0FFQUFRZ0hBUUFCT2dRQkFBRTdCQUVBQUVVRUFRQUJQQVFCQUFBTUJnRUFBUThHQVFBQkRRWUJBQUJDQkFFQUFFTUVBUUFBUkFRQkFBQUtDQWdBQXdCZ0FNZ0FBd0FMQ0FnQUJBQUFBUEFBQXdBSkNBUUFNN01DQUFnSUJBQUFBQUlBQndnRUFBQUFBUUFHQ0FRQUFBQUVBQVVJQkFBQUFCNEFCQWdDQUhnQUF3Z0VBQUFBZUFBakNBRUFCUXdJQVFBQUtBZ0JBQUVwQ0FFQUFTb0lBUUFCQWdnUUFBQUFKQUFBQUNRQUFBQWtBQUFBSkFBQkF3SUFBQUFDQXdJQUFRQUFBdzRBQWdELy8vLy8vLzhBQUFBQUFBQUFBU1FBQUFBQ0FBTUE1QVFGQUVGeWFXRnNCQURrQkE4QVZHbHRaWE1nVG1WM0lGSnZiV0Z1QVlCSkFBQUFCQUlRQUFBQUFBQUFBQUFBQUlER0JCQjRiUVlXQ0FRQUFBQWtBQmdJQkFBQUFDUUFHUWdBQUJBSUFnQUJBQThJQWdBQkFBT0FSQUFBQUFRQ0VBQzBjNVQvMm9uTC8zTU9aQUJPS3ZFQUJJQUJBQUFBQUFJSUFPMEU1djlPS3ZFQUNnQUNBQUlBTndRQkFBRUFBQVNBQWdBQUFBQUNDQUR0Qk9iL1RpclRBQW9BQWdBREFBSUVBZ0FRQUNzRUFnQUFBRWdFQUFBR2dBQUFBQUFBQWdnQTdhVHAvMDdPendBRUFoQUE3V1RpLzA3T3p3Q0h2dW4vdEhUV0FDTUlBUUFBQWdjQ0FBQUFBQWNOQUFFQUFBQURBR0FBeUFBREFGTUFBQUFBQklBREFBQUFBQUlJQU93RUJBQk9LdE1BQ2dBQ0FBUUFBZ1FDQUFnQUt3UUNBQUFBU0FRQUFEY0VBUUFCQm9BQUFBQUFBQUlJQU95a0J3Qk9RczhBQkFJUUFPeGtBQUJPUXM4QWhyNEhBRTRDMXdBakNBRUFBQUlIQWdBQUFBQUhEUUFCQUFBQUF3QmdBTWdBQXdCUEFBQUFBQVNBQkFBQUFBQUNDQUR0Qk1qL1RpclRBQW9BQWdBRkFBSUVBZ0FJQUNzRUFnQUFBRWdFQUFBM0JBRUFBUWFBQUFBQUFBQUNDQUR0cE12L1RrTFBBQVFDRUFEdFpNVC9Ua0xQQUllK3kvOU9BdGNBSXdnQkFBQUNCd0lBQUFBQUJ3MEFBUUFBQUFNQVlBRElBQU1BVHdBQUFBQUVnQVVBQUFBQUFnZ0E3UVRtLzA0cXRRQUtBQUlBQmdBQUFBU0FCZ0FBQUFBQ0NBQUFBQUFBVGlxbUFBb0FBZ0FIQUFBQUJJQUhBQUFBQUFJSUFBQUFBQUJPS29nQUNnQUNBQWdBQUFBRWdBZ0FBQUFBQWdnQTdRVG0vMDRxZVFBS0FBSUFDUUFBQUFTQUNRQUFBQUFDQ0FEYUNjei9UaXFJQUFvQUFnQUtBQUFBQklBS0FBQUFBQUlJQU5vSnpQOU9LcVlBQ2dBQ0FBc0FBQUFFZ0FzQUFBQUFBZ2dBeHc2eS8wNHF0UUFLQUFJQURBQUNCQUlBQndBckJBSUFBQUFoQkFFQUFVZ0VBQUFHZ0FBQUFBQUFBZ2dBK3FHMS8wNlNzUUFFQWhBQXgwNnQvMDZTc1FENm9iWC9HaCs5QUNNSUFRQUFBZ2NDQUFBQUJRY0JBQUVBQnc0QUFRQUFBQU1BWUFESUFBTUFUaXNBQUFBQUJJQU1BQUFBQUFJSUFMUVRtUDlPS3FZQUNnQUNBQTBBQWdRQ0FBZ0FLd1FDQUFBQVNBUUFBRGNFQVFBQkJvQUFBQUFBQUFJSUFMU3ptLzlPUXFJQUJBSVFBTFJ6bFA5T1FxSUFUYzJiLzA0Q3FnQWpDQUVBQUFJSEFnQUFBQUFIRFFBQkFBQUFBd0JnQU1nQUF3QlBBQUFBQUFTQURRQUFBQUFDQ0FESERyTC9UaXJUQUFvQUFnQU9BQUlFQWdBSUFDc0VBZ0FBQUNFRUFRRC9TQVFBQURjRUFRQUJCb0FBQUFBQUFBSUlBTWV1dGY5T1FzOEFCQUlRQU1kdXJ2OU9RczhBWU1pMS8rZDcyUUFqQ0FFQUFBSUhBZ0FBQUFVSEFRQUJBQWNPQUFFQUFBQURBR0FBeUFBREFFOHRBQUFBQUFTQURnQUFBQUFDQ0FEdEJPYi9UaXBiQUFvQUFnQVBBQUFBQklBUEFBQUFBQUlJQU5vSnpQOU9La3dBQ2dBQ0FCQUFBZ1FDQUFnQUt3UUNBQUFBU0FRQUFEY0VBUUFCQm9BQUFBQUFBQUlJQU5xcHovOU9Ra2dBQkFJUUFOcHB5UDlPUWtnQWRNUFAvMDRDVUFBakNBRUFBQUlIQWdBQUFBQUhEUUFCQUFBQUF3QmdBTWdBQXdCUEFBQUFBQVNBRUFBQUFBQUNDQUFBQUFBQVRpcE1BQW9BQWdBUkFBSUVBZ0FIQUNzRUFnQUFBRWdFQUFBR2dBQUFBQUFBQWdnQU01TURBRTZTU0FBRUFoQUF6V3o4LzA2U1NBQXprd01BZ2NWUEFDTUlBUUFBQWdjQ0FBQUFBQWNOQUFFQUFBQURBR0FBeUFBREFFNEFBQUFBQklBUkFBQUFBQUlJQUJQN0dRQk9LbHNBQ2dBQ0FCSUFOd1FCQUFFQUFBU0FFZ0FBQUFBQ0NBQW05ak1BVGlwTUFBb0FBZ0FUQUFBQUJJQVRBQUFBQUFJSUFDMWVUd0FLWGxnQUNnQUNBQlFBTndRQkFBRUFBQVNBRkFBQUFBQUNDQUFhY1dNQXNCSkNBQW9BQWdBVkFEY0VBUUFCQUFBRWdCVUFBQUFBQWdnQUduRlVBSjBYS0FBS0FBSUFGZ0EzQkFFQUFRQUFCSUFXQUFBQUFBSUlBTzBZTndCZ1ZDNEFDZ0FDQUJjQUFnUUNBQWdBS3dRQ0FBQUFTQVFBQURjRUFRQUJCb0FBQUFBQUFBSUlBTzI0T2dCZ2JDb0FCQUlRQU8xNE13QmdiQ29BaDlJNkFHQXNNZ0FqQ0FFQUFBSUhBZ0FBQUFBSERRQUJBQUFBQXdCZ0FNZ0FBd0JQQUFBQUFBU0FGd0FBQUFBQ0NBQUFBQUFBVGlvdUFBb0FBZ0FZQUFBQUJJQVlBQUFBQUFJSUFFQkZHQUFkaUJ3QUNnQUNBQmtBQWdRQ0FBY0FLd1FDQUFBQVNBUUFBQWFBQUFBQUFBQUNDQUJ6MkJzQUhmQVlBQVFDRUFBTXNoUUFIZkFZQUhQWUd3QlFJeUFBSXdnQkFBQUNCd0lBQUFBQUJ3MEFBUUFBQUFNQVlBRElBQU1BVGdBQUFBQUVnQmtBQUFBQUFnZ0FBQUFQQUFBQUFBQUtBQUlBR2dBQUFBU0FHZ0FBQUFBQ0NBRC8veDBBN1FUbS93b0FBZ0FiQUFBQUJJQWJBQUFBQUFJSUFQLy9EZ0RhQ2N6L0NnQUNBQndBQUFBRWdCd0FBQUFBQWdnQUFBRHgvOW9KelA4S0FBSUFIUUFBQUFTQUhRQUFBQUFDQ0FBQUFPTC83UVRtL3dvQUFnQWVBQUFBQklBZUFBQUFBQUlJQUFBQThmOEFBQUFBQ2dBQ0FCOEFBQUFFZ0I4QUFBQUFBZ2dBd0xybi94MklIQUFLQUFJQUlBQUNCQUlBRUFBckJBSUFBQUJJQkFBQUJvQUFBQUFBQUFJSUFNQmE2LzhkTEJrQUJBSVFBTUFhNVA4ZExCa0FXblRyLzRQU0h3QWpDQUVBQUFJSEFnQUFBQUFIRFFBQkFBQUFBd0JnQU1nQUF3QlRBQUFBQUFXQUlRQUFBQW9BQWdBaEFBUUdCQUFCQUFBQUJRWUVBQUlBQUFBS0JnRUFBUUFBQllBaUFBQUFDZ0FDQUNJQUJBWUVBQUlBQUFBRkJnUUFBd0FBQUFBR0FnQUNBQUFBQllBakFBQUFDZ0FDQUNNQUJBWUVBQUlBQUFBRkJnUUFCQUFBQUFBR0FnQUNBQUFBQllBa0FBQUFDZ0FDQUNRQUJBWUVBQUlBQUFBRkJnUUFCUUFBQUFvR0FRQUJBQUFGZ0NVQUFBQUtBQUlBSlFBRUJnUUFCUUFBQUFVR0JBQUdBQUFBQUFZQ0FJQUFBQUFGZ0NZQUFBQUtBQUlBSmdBRUJnUUFCZ0FBQUFVR0JBQUhBQUFBQUFZQ0FJQUFBQUFGZ0NjQUFBQUtBQUlBSndBRUJnUUFCd0FBQUFVR0JBQUlBQUFBQUFZQ0FJQUFBQUFGZ0NnQUFBQUtBQUlBS0FBRUJnUUFDQUFBQUFVR0JBQUpBQUFBQUFZQ0FJQUFBQUFGZ0NrQUFBQUtBQUlBS1FBRUJnUUFDUUFBQUFVR0JBQUtBQUFBQUFZQ0FJQUFBQUFGZ0NvQUFBQUtBQUlBS2dBRUJnUUFCUUFBQUFVR0JBQUtBQUFBQUFZQ0FJQUFBQUFGZ0NzQUFBQUtBQUlBS3dBRUJnUUFDZ0FBQUFVR0JBQUxBQUFBQ2dZQkFBRUFBQVdBTEFBQUFBb0FBZ0FzQUFRR0JBQUxBQUFBQlFZRUFBd0FBQUFBQmdJQUFnQUFBQVdBTFFBQUFBb0FBZ0F0QUFRR0JBQUxBQUFBQlFZRUFBMEFBQUFLQmdFQUFRQUFCWUF1QUFBQUNnQUNBQzRBQkFZRUFBZ0FBQUFGQmdRQURnQUFBQW9HQVFBQkFBQUZnQzhBQUFBS0FBSUFMd0FFQmdRQURnQUFBQVVHQkFBUEFBQUFBQVlDQUFJQUFBQUZnREFBQUFBS0FBSUFNQUFFQmdRQURnQUFBQVVHQkFBUUFBQUFDZ1lCQUFFQUFBV0FNUUFBQUFvQUFnQXhBQVFHQkFBUUFBQUFCUVlFQUJFQUFBQUtCZ0VBQVFBQUJZQXlBQUFBQ2dBQ0FESUFCQVlFQUJFQUFBQUZCZ1FBRWdBQUFBb0dBUUFCQUFBRmdETUFBQUFLQUFJQU13QUVCZ1FBRWdBQUFBVUdCQUFUQUFBQUNnWUJBQUVBQUFXQU5BQUFBQW9BQWdBMEFBUUdCQUFUQUFBQUJRWUVBQlFBQUFBS0JnRUFBUUFBQllBMUFBQUFDZ0FDQURVQUJBWUVBQlFBQUFBRkJnUUFGUUFBQUFvR0FRQUJBQUFGZ0RZQUFBQUtBQUlBTmdBRUJnUUFGUUFBQUFVR0JBQVdBQUFBQ2dZQkFBRUFBQVdBTndBQUFBb0FBZ0EzQUFRR0JBQVNBQUFBQlFZRUFCWUFBQUFLQmdFQUFRQUFCWUE0QUFBQUNnQUNBRGdBQkFZRUFCQUFBQUFGQmdRQUZ3QUFBQW9HQVFBQkFBQUZnRGtBQUFBS0FBSUFPUUFFQmdRQUZ3QUFBQVVHQkFBWUFBQUFBQVlDQUlBQUFBQUZnRG9BQUFBS0FBSUFPZ0FFQmdRQUdBQUFBQVVHQkFBWkFBQUFBQVlDQUlBQUFBQUZnRHNBQUFBS0FBSUFPd0FFQmdRQUdRQUFBQVVHQkFBYUFBQUFBQVlDQUlBQUFBQUZnRHdBQUFBS0FBSUFQQUFFQmdRQUdnQUFBQVVHQkFBYkFBQUFBQVlDQUlBQUFBQUZnRDBBQUFBS0FBSUFQUUFFQmdRQUd3QUFBQVVHQkFBY0FBQUFBQVlDQUlBQUFBQUZnRDRBQUFBS0FBSUFQZ0FFQmdRQUhBQUFBQVVHQkFBZEFBQUFBQVlDQUlBQUFBQUZnRDhBQUFBS0FBSUFQd0FFQmdRQUhRQUFBQVVHQkFBZUFBQUFBQVlDQUlBQUFBQUZnRUFBQUFBS0FBSUFRQUFFQmdRQUdRQUFBQVVHQkFBZUFBQUFBQVlDQUlBQUFBQUZnRUVBQUFBS0FBSUFRUUFFQmdRQUhnQUFBQVVHQkFBZkFBQUFBQVlDQUlBQUFBQUZnRUlBQUFBS0FBSUFRZ0FFQmdRQUZ3QUFBQVVHQkFBZkFBQUFBQVlDQUlBQUFBQUhnRVVBQUFBRUFoQUE3UVRtLzVSWXJBRHRCT2IvVGlxWEFBb0FBZ0JEQUFBS0FnQUVBQVFLQWdBQkFBMENEQUJPS3BjQTdRVG0vd0FBQUFBT0Fnd0FsRmlzQU8wRTV2OEFBQUFBRHdJTUFFNHFsd0EwTS92L0FBQUFBQUFBQjRCR0FBQUFCQUlRQUFBQUFBRFFmU1FBQUFBQUFFNmxGQUFLQUFJQVJBQUFDZ0lBQkFBRUNnSUFBUUFOQWd3QVRxVVVBQUFBQUFBQUFBQUFEZ0lNQU5COUpBQUFBQUFBQUFBQUFBOENEQUJPcFJRQWdkZ1BBQUFBQUFBQUFBZUFSd0FBQUFRQ0VBQUFBQUFBTkRQNy93QUFBQUR0Qk9iL0NnQUNBRVVBQUFvQ0FBUUFCQW9DQUFFQURRSU1BTzBFNXY4QUFBQUFBQUFBQUE0Q0RBQTBNL3YvQUFBQUFBQUFBQUFQQWd3QTdRVG0vMFl1RlFBQUFBQUFBQUFBQUFBQUFBQUFBQT09</t>
        </r>
      </text>
    </comment>
    <comment ref="A4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QzEzSDEwQ2xONU9TMnxTQ0hJU1RPU09NSUFTSVNQaWN0dXJlIDl8Vm1wRFJEQXhNREFFQXdJQkFBQUFBQUFBQUFBQUFBQ0FBQUFBQUFNQUZnQUFBRU5vWlcxRWNtRjNJREV5TGpBdU1pNHhNRGMyQkFJUUFBRmd6LytnbUgzL3paTThBTVpRa3dBQkNRZ0FBQUFBQUFBQUFBQUNDUWdBQUFEY0FnQUFLQUlOQ0FFQUFRZ0hBUUFCT2dRQkFBRTdCQUVBQUVVRUFRQUJQQVFCQUFBTUJnRUFBUThHQVFBQkRRWUJBQUJDQkFFQUFFTUVBUUFBUkFRQkFBQUtDQWdBQXdCZ0FNZ0FBd0FMQ0FnQUJBQUFBUEFBQXdBSkNBUUFNN01DQUFnSUJBQUFBQUlBQndnRUFBQUFBUUFHQ0FRQUFBQUVBQVVJQkFBQUFCNEFCQWdDQUhnQUF3Z0VBQUFBZUFBakNBRUFCUXdJQVFBQUtBZ0JBQUVwQ0FFQUFTb0lBUUFCQWdnUUFBQUFKQUFBQUNRQUFBQWtBQUFBSkFBQkF3SUFBQUFDQXdJQUFRQUFBdzRBQWdELy8vLy8vLzhBQUFBQUFBQUFBU1FBQUFBQ0FBTUE1QVFGQUVGeWFXRnNCQURrQkE4QVZHbHRaWE1nVG1WM0lGSnZiV0Z1QVlBMUFBQUFCQUlRQUFBQUFBQUFBQUFBQUlER0JCQjRiUVlXQ0FRQUFBQWtBQmdJQkFBQUFDUUFHUWdBQUJBSUFnQUJBQThJQWdBQkFBT0FNUUFBQUFRQ0VBQUJZTS8vb0poOS84MlRQQURHVUpNQUJJQUJBQUFBQUFJSUFCWTZBUUE0NlpJQUNnQUNBQUlBTndRQkFBRUFBQVNBQWdBQUFBQUNDQURYOU9qL0IwZUJBQW9BQWdBREFBSUVBZ0FIQUNzRUFnQUJBRWdFQUFBM0JBRUFBUWFBQUFBQUFBQUNDQUFLaU96L0I2OTlBQVFDRUFDalllWC9CNjk5QUFxSTdQOXVGWXdBSXdnQkFBQUNCd0lBQUFBRkJ3RUFBUUFIRGdBQkFBQUFBd0JnQU1nQUF3Qk9TQUFBQUFBRWdBTUFBQUFBQWdnQW5oZnMveHB4WXdBS0FBSUFCQUFBQUFTQUJBQUFBQUFDQ0FDd0VnWUFHbkZVQUFvQUFnQUZBQUlFQWdBSEFDc0VBZ0FBQUVnRUFBQUdnQUFBQUFBQUFnZ0E0NlVKQUJyWlVBQUVBaEFBZlg4Q0FCclpVQURqcFFrQVRReFlBQ01JQVFBQUFnY0NBQUFBQUFjTkFBRUFBQUFEQUdBQXlBQURBRTRBQUFBQUJJQUZBQUFBQUFJSUFPN1YvLy90R0RjQUNnQUNBQVlBQWdRQ0FBY0FLd1FDQUFBQVNBUUFBQWFBQUFBQUFBQUNDQUFnYVFNQTdZQXpBQVFDRUFDN1F2ei83WUF6QUNCcEF3QWd0RG9BSXdnQkFBQUNCd0lBQUFBQUJ3MEFBUUFBQUFNQVlBRElBQU1BVGdBQUFBQUVnQVlBQUFBQUFnZ0FBUURpL3liMk13QUtBQUlBQndBQUFBU0FCd0FBQUFBQ0NBQUFBTlAvRS9zWkFBb0FBZ0FJQUFJRUFnQVFBQ3NFQWdBQUFFZ0VBQUEzQkFFQUFRYUFBQUFBQUFBQ0NBQUJvTmIvRTU4V0FBUUNFQUFCWU0vL0U1OFdBSnE1MXY5NVJSMEFJd2dCQUFBQ0J3SUFBQUFBQncwQUFRQUFBQU1BWUFESUFBTUFVd0FBQUFBRWdBZ0FBQUFBQWdnQUFBRGkvd0FBQUFBS0FBSUFDUUFBQUFTQUNRQUFBQUFDQ0FBQUFBQUFBQUFBQUFvQUFnQUtBQUFBQklBS0FBQUFBQUlJQUFBQUR3QVQreGtBQ2dBQ0FBc0FBZ1FDQUJFQUt3UUNBQUFBU0FRQUFEY0VBUUFCQm9BQUFBQUFBQUlJQUFDZ0VnQVRZeFlBQkFJUUFBQmdDd0FUWXhZQW1ia1NBSG5KSHdBakNBRUFBQUlIQWdBQUFBVUhBUUFCQUFjT0FBRUFBQUFEQUdBQXlBQURBRU5zQUFBQUFBU0FDd0FBQUFBQ0NBRC8vdzRBN1FUbS93b0FBZ0FNQUFBQUJJQU1BQUFBQUFJSUFQLy9MQUR0Qk9iL0NnQUNBQTBBQWdRQ0FBZ0FLd1FDQUFBQVNBUUFBRGNFQVFBQkJvQUFBQUFBQUFJSUFBQ2dNQUR0SE9ML0JBSVFBQUJnS1FEdEhPTC9tYmt3QU8zYzZmOGpDQUVBQUFJSEFnQUFBQUFIRFFBQkFBQUFBd0JnQU1nQUF3QlBBQUFBQUFTQURRQUFBQUFDQ0FBQUFBQUEyZ25NL3dvQUFnQU9BQUlFQWdBSEFDc0VBZ0FBQUVnRUFBQUdnQUFBQUFBQUFnZ0FNNU1EQU5weHlQOEVBaEFBeld6OC85cHh5UDh6a3dNQURhWFAveU1JQVFBQUFnY0NBQUFBQUFjTkFBRUFBQUFEQUdBQXlBQURBRTRBQUFBQUJJQU9BQUFBQUFJSUFBQUE0di9hQ2N6L0NnQUNBQThBQWdRQ0FBY0FLd1FDQUFBQVNBUUFBRGNFQVFBQkJvQUFBQUFBQUFJSUFEU1Q1Zi9hY2NqL0JBSVFBTTFzM3YvYWNjai9OSlBsL3cybHovOGpDQUVBQUFJSEFnQUFBQUFIRFFBQkFBQUFBd0JnQU1nQUF3Qk9BQUFBQUFTQUR3QUFBQUFDQ0FBQUFOUC83UVRtL3dvQUFnQVFBRGNFQVFBQkFBQUVnQkFBQUFBQUFnZ0EvLzhPQU1jT3N2OEtBQUlBRVFBQUFBU0FFUUFBQUFBQ0NBRC8veXdBeHc2eS93b0FBZ0FTQUFBQUJJQVNBQUFBQUFJSUFQLy9Pd0MwRTVqL0NnQUNBQk1BQUFBRWdCTUFBQUFBQWdnQS8vOHNBS0FZZnY4S0FBSUFGQUFBQUFTQUZBQUFBQUFDQ0FELy93NEFvQmgrL3dvQUFnQVZBQUFBQklBVkFBQUFBQUlJQUFBQUFBQzBFNWovQ2dBQ0FCWUFBQUFFZ0JZQUFBQUFBZ2dBUk16Vi95MWVUd0FLQUFJQUZ3QUNCQUlBRUFBckJBSUFBQUJJQkFBQUJvQUFBQUFBQUFJSUFFUnMyZjh0QWt3QUJBSVFBRVFzMHY4dEFrd0EzWVhaLzVTb1VnQWpDQUVBQUFJSEFnQUFBQUFIRFFBQkFBQUFBd0JnQU1nQUF3QlRBQUFBQUFXQUdBQUFBQW9BQWdBWUFBUUdCQUFCQUFBQUJRWUVBQUlBQUFBS0JnRUFBUUFBQllBWkFBQUFDZ0FDQUJrQUJBWUVBQUlBQUFBRkJnUUFBd0FBQUFvR0FRQUJBQUFGZ0JvQUFBQUtBQUlBR2dBRUJnUUFBd0FBQUFVR0JBQUVBQUFBQUFZQ0FJQUFBQUFGZ0JzQUFBQUtBQUlBR3dBRUJnUUFCQUFBQUFVR0JBQUZBQUFBQUFZQ0FJQUFBQUFGZ0J3QUFBQUtBQUlBSEFBRUJnUUFCUUFBQUFVR0JBQUdBQUFBQUFZQ0FJQUFBQUFGZ0IwQUFBQUtBQUlBSFFBRUJnUUFCZ0FBQUFVR0JBQUhBQUFBQ2dZQkFBRUFBQVdBSGdBQUFBb0FBZ0FlQUFRR0JBQUhBQUFBQlFZRUFBZ0FBQUFLQmdFQUFRQUFCWUFmQUFBQUNnQUNBQjhBQkFZRUFBZ0FBQUFGQmdRQUNRQUFBQUFHQWdBQ0FBTUdBZ0FDQUFzR0VBQWVBQUFBSmdBQUFDRUFBQUFnQUFBQUFBQUZnQ0FBQUFBS0FBSUFJQUFFQmdRQUNRQUFBQVVHQkFBS0FBQUFDZ1lCQUFFQUFBV0FJUUFBQUFvQUFnQWhBQVFHQkFBSkFBQUFCUVlFQUFzQUFBQUtCZ0VBQVFBQUJZQWlBQUFBQ2dBQ0FDSUFCQVlFQUFzQUFBQUZCZ1FBREFBQUFBQUdBZ0FDQUFBQUJZQWpBQUFBQ2dBQ0FDTUFCQVlFQUFzQUFBQUZCZ1FBRFFBQUFBb0dBUUFCQUFBRmdDUUFBQUFLQUFJQUpBQUVCZ1FBRFFBQUFBVUdCQUFPQUFBQUNnWUJBQUVBQUFXQUpRQUFBQW9BQWdBbEFBUUdCQUFPQUFBQUJRWUVBQThBQUFBQUJnSUFBZ0FEQmdJQUFnQUxCaEFBQUFBQUFDUUFBQUFtQUFBQUFBQUFBQUFBQllBbUFBQUFDZ0FDQUNZQUJBWUVBQWdBQUFBRkJnUUFEd0FBQUFvR0FRQUJBQUFGZ0NjQUFBQUtBQUlBSndBRUJnUUFEUUFBQUFVR0JBQVFBQUFBQ2dZQkFBRUFBQVdBS0FBQUFBb0FBZ0FvQUFRR0JBQVFBQUFBQlFZRUFCRUFBQUFBQmdJQWdBQUFBQVdBS1FBQUFBb0FBZ0FwQUFRR0JBQVJBQUFBQlFZRUFCSUFBQUFBQmdJQWdBQUFBQVdBS2dBQUFBb0FBZ0FxQUFRR0JBQVNBQUFBQlFZRUFCTUFBQUFBQmdJQWdBQUFBQVdBS3dBQUFBb0FBZ0FyQUFRR0JBQVRBQUFBQlFZRUFCUUFBQUFBQmdJQWdBQUFBQVdBTEFBQUFBb0FBZ0FzQUFRR0JBQVVBQUFBQlFZRUFCVUFBQUFBQmdJQWdBQUFBQVdBTFFBQUFBb0FBZ0F0QUFRR0JBQVFBQUFBQlFZRUFCVUFBQUFBQmdJQWdBQUFBQVdBTGdBQUFBb0FBZ0F1QUFRR0JBQUdBQUFBQlFZRUFCWUFBQUFBQmdJQWdBQUFBQVdBTHdBQUFBb0FBZ0F2QUFRR0JBQURBQUFBQlFZRUFCWUFBQUFBQmdJQWdBQUFBQWVBTWdBQUFBUUNFQUNBd3U3L1p1aFpBSURDN3Yva0Qwb0FDZ0FDQURBQUFBb0NBQVFBQkFvQ0FBRUFEUUlNQU9RUFNnQ0F3dTcvQUFBQUFBNENEQUJtNkZrQWdNTHUvd0FBQUFBUEFnd0E1QTlLQUFLYi92OEFBQUFBQUFBSGdETUFBQUFFQWhBQS8vOGRBUHBCcmYvLy94MEF0Qk9ZL3dvQUFnQXhBQUFLQWdBRUFBUUtBZ0FCQUEwQ0RBQzBFNWovLy84ZEFBQUFBQUFPQWd3QStrR3QvLy8vSFFBQUFBQUFEd0lNQUxRVG1QOUdMak1BQUFBQUFBQUFBQUFBQUFBQUFBQT0=</t>
        </r>
      </text>
    </comment>
    <comment ref="A5" authorId="0" shapeId="0" xr:uid="{00000000-0006-0000-0700-000003000000}">
      <text>
        <r>
          <rPr>
            <b/>
            <sz val="9"/>
            <color rgb="FF000000"/>
            <rFont val="Tahoma"/>
            <family val="2"/>
          </rPr>
          <t>QzI0SDIzTjN8U0NISVNUT1NPTUlBU0lTUGljdHVyZSA2fFZtcERSREF4TURBRUF3SUJBQUFBQUFBQUFBQUFBQUNBQUFBQUFBTUFGZ0FBQUVOb1pXMUVjbUYzSURFeUxqQXVNaTR4TURjMkJBSVFBQmJRMi8vYWljdi9tY044QUJ1K2lBQUJDUWdBQUFBQUFBQUFBQUFDQ1FnQUFBRGNBZ0FBS0FJTkNBRUFBUWdIQVFBQk9nUUJBQUU3QkFFQUFFVUVBUUFCUEFRQkFBQU1CZ0VBQVE4R0FRQUJEUVlCQUFCQ0JBRUFBRU1FQVFBQVJBUUJBQUFLQ0FnQUF3QmdBTWdBQXdBTENBZ0FCQUFBQVBBQUF3QUpDQVFBTTdNQ0FBZ0lCQUFBQUFJQUJ3Z0VBQUFBQVFBR0NBUUFBQUFFQUFVSUJBQUFBQjRBQkFnQ0FIZ0FBd2dFQUFBQWVBQWpDQUVBQlF3SUFRQUFLQWdCQUFFcENBRUFBU29JQVFBQkFnZ1FBQUFBSkFBQUFDUUFBQUFrQUFBQUpBQUJBd0lBQUFBQ0F3SUFBUUFBQXc0QUFnRC8vLy8vLy84QUFBQUFBQUFBQVNRQUFBQUNBQU1BNUFRRkFFRnlhV0ZzQkFEa0JBOEFWR2x0WlhNZ1RtVjNJRkp2YldGdUFZQkRBQUFBQkFJUUFBQUFBQUFBQUFBQUFJREdCQkI0YlFZV0NBUUFBQUFrQUJnSUJBQUFBQ1FBR1FnQUFCQUlBZ0FCQUE4SUFnQUJBQU9BUFFBQUFBUUNFQUFXME52LzJvbkwvNW5EZkFBYnZvZ0FCSUFCQUFBQUFBSUlBTDBHT2dBbFFYTUFDZ0FDQUFJQU53UUJBQUVBQUFTQUFnQUFBQUFDQ0FBTkFWY0FhbjFyQUFvQUFnQURBRGNFQVFBQkFBQUVnQU1BQUFBQUFnZ0EvcEpZQVBDSFRRQUtBQUlBQkFBM0JBRUFBUUFBQklBRUFBQUFBQUlJQUJpUlBBQ3N4MElBQ2dBQ0FBVUFBZ1FDQUFjQUt3UUNBQUFBU0FRQUFBYUFBQUFBQUFBQ0NBQkxKRUFBckM4L0FBUUNFQURsL1RnQXJDOC9BRXNrUUFEZllrWUFJd2dCQUFBQ0J3SUFBQUFBQncwQUFRQUFBQU1BWUFESUFBTUFUZ0FBQUFBRWdBVUFBQUFBQWdnQTZxOHBBQ2NZV2dBS0FBSUFCZ0EzQkFFQUFRQUFCSUFHQUFBQUFBSUlBRjNOTkFCZHpTVUFDZ0FDQUFjQUFBQUVnQWNBQUFBQUFnZ0E4UU5LQU1pV0VBQUtBQUlBQ0FBQUFBU0FDQUFBQUFBQ0NBQkIvbVlBZzFvWUFBb0FBZ0FKQUFBQUJJQUpBQUFBQUFJSUFOVTBmQUR2SXdNQUNnQUNBQW9BQUFBRWdBb0FBQUFBQWdnQUduRjBBS0FwNXY4S0FBSUFDd0FBQUFTQUN3QUFBQUFDQ0FETGRsY0E1V1hlL3dvQUFnQU1BQUFBQklBTUFBQUFBQUlJQURaQVFnQjZuUFAvQ2dBQ0FBMEFBZ1FDQUFjQUt3UUNBQUFBU0FRQUFBYUFBQUFBQUFBQ0NBQnEwMFVBZWdUdy93UUNFQUFEclQ0QWVnVHcvMnJUUlFDdE4vZi9Jd2dCQUFBQ0J3SUFBQUFBQncwQUFRQUFBQU1BWUFESUFBTUFUZ0FBQUFBRWdBMEFBQUFBQWdnQVFFVVlBQjJJSEFBS0FBSUFEZ0FBQUFTQURnQUFBQUFDQ0FBQUFBQUFUaW91QUFvQUFnQVBBQUFBQklBUEFBQUFBQUlJQU1DNjUvOGRpQndBQ2dBQ0FCQUFBZ1FDQUFjQUt3UUNBQUVBU0FRQUFBYUFBQUFBQUFBQ0NBQjg5dUwvSGZBWUFBUUNFQUFXME52L0hmQVlBUFJONi85UUl5QUFJd2dCQUFBQ0J3SUFBQUFGQndFQUJBUUhCZ0FDQUFJQUF3QUFCdzRBQVFBQUFBTUFZQURJQUFNQVRrZ0FBQUFBQklBUUFBQUFBQUlJQUFBQThmOEFBQUFBQ2dBQ0FCRUFBQUFFZ0JFQUFBQUFBZ2dBQVFEaS8rMEU1djhLQUFJQUVnQUFBQVNBRWdBQUFBQUNDQUFCQVBILzJnbk0vd29BQWdBVEFBQUFCSUFUQUFBQUFBSUlBQUFBRHdEYUNjei9DZ0FDQUJRQUFBQUVnQlFBQUFBQUFnZ0FBQUFlQU8wRTV2OEtBQUlBRlFBQUFBU0FGUUFBQUFBQ0NBQUFBQThBQUFBQUFBb0FBZ0FXQUFBQUJJQVdBQUFBQUFJSUFBQUFBQUJPS2t3QUNnQUNBQmNBQUFBRWdCY0FBQUFBQWdnQTdRVG0vMDRxV3dBS0FBSUFHQUFBQUFTQUdBQUFBQUFDQ0FEdEJPYi9UaXA1QUFvQUFnQVpBQUFBQklBWkFBQUFBQUlJQUFBQUFBQk9Lb2dBQ2dBQ0FCb0FBQUFFZ0JvQUFBQUFBZ2dBRS9zWkFFNHFlUUFLQUFJQUd3QUFBQVNBR3dBQUFBQUNDQUFUK3hrQVRpcGJBQW9BQWdBY0FBQUFCWUFkQUFBQUNnQUNBQjBBQkFZRUFBRUFBQUFGQmdRQUFnQUFBQW9HQVFBQkFBQUZnQjRBQUFBS0FBSUFIZ0FFQmdRQUFnQUFBQVVHQkFBREFBQUFDZ1lCQUFFQUFBV0FId0FBQUFvQUFnQWZBQVFHQkFBREFBQUFCUVlFQUFRQUFBQUtCZ0VBQVFBQUJZQWdBQUFBQ2dBQ0FDQUFCQVlFQUFRQUFBQUZCZ1FBQlFBQUFBb0dBUUFCQUFBRmdDRUFBQUFLQUFJQUlRQUVCZ1FBQVFBQUFBVUdCQUFGQUFBQUNnWUJBQUVBQUFXQUlnQUFBQW9BQWdBaUFBUUdCQUFFQUFBQUJRWUVBQVlBQUFBS0JnRUFBUUFBQllBakFBQUFDZ0FDQUNNQUJBWUVBQVlBQUFBRkJnUUFCd0FBQUFvR0FRQUJBQUFGZ0NRQUFBQUtBQUlBSkFBRUJnUUFCd0FBQUFVR0JBQUlBQUFBQUFZQ0FJQUFBQUFGZ0NVQUFBQUtBQUlBSlFBRUJnUUFDQUFBQUFVR0JBQUpBQUFBQUFZQ0FJQUFBQUFGZ0NZQUFBQUtBQUlBSmdBRUJnUUFDUUFBQUFVR0JBQUtBQUFBQUFZQ0FJQUFBQUFGZ0NjQUFBQUtBQUlBSndBRUJnUUFDZ0FBQUFVR0JBQUxBQUFBQUFZQ0FJQUFBQUFGZ0NnQUFBQUtBQUlBS0FBRUJnUUFDd0FBQUFVR0JBQU1BQUFBQUFZQ0FJQUFBQUFGZ0NrQUFBQUtBQUlBS1FBRUJnUUFCd0FBQUFVR0JBQU1BQUFBQUFZQ0FJQUFBQUFGZ0NvQUFBQUtBQUlBS2dBRUJnUUFCZ0FBQUFVR0JBQU5BQUFBQ2dZQkFBRUFBQVdBS3dBQUFBb0FBZ0FyQUFRR0JBQU5BQUFBQlFZRUFBNEFBQUFBQmdJQWdBQUFBQVdBTEFBQUFBb0FBZ0FzQUFRR0JBQU9BQUFBQlFZRUFBOEFBQUFBQmdJQWdBQUFBQVdBTFFBQUFBb0FBZ0F0QUFRR0JBQVBBQUFBQlFZRUFCQUFBQUFBQmdJQWdBQUFBQVdBTGdBQUFBb0FBZ0F1QUFRR0JBQVFBQUFBQlFZRUFCRUFBQUFBQmdJQWdBQUFBQVdBTHdBQUFBb0FBZ0F2QUFRR0JBQVJBQUFBQlFZRUFCSUFBQUFBQmdJQWdBQUFBQVdBTUFBQUFBb0FBZ0F3QUFRR0JBQVNBQUFBQlFZRUFCTUFBQUFBQmdJQWdBQUFBQVdBTVFBQUFBb0FBZ0F4QUFRR0JBQVRBQUFBQlFZRUFCUUFBQUFBQmdJQWdBQUFBQVdBTWdBQUFBb0FBZ0F5QUFRR0JBQVVBQUFBQlFZRUFCVUFBQUFBQmdJQWdBQUFBQVdBTXdBQUFBb0FBZ0F6QUFRR0JBQU5BQUFBQlFZRUFCVUFBQUFBQmdJQWdBQUFBQVdBTkFBQUFBb0FBZ0EwQUFRR0JBQVFBQUFBQlFZRUFCVUFBQUFBQmdJQWdBQUFBQVdBTlFBQUFBb0FBZ0ExQUFRR0JBQU9BQUFBQlFZRUFCWUFBQUFBQUFXQU5nQUFBQW9BQWdBMkFBUUdCQUFXQUFBQUJRWUVBQmNBQUFBQUJnSUFnQUFBQUFXQU53QUFBQW9BQWdBM0FBUUdCQUFYQUFBQUJRWUVBQmdBQUFBQUJnSUFnQUFBQUFXQU9BQUFBQW9BQWdBNEFBUUdCQUFZQUFBQUJRWUVBQmtBQUFBQUJnSUFnQUFBQUFXQU9RQUFBQW9BQWdBNUFBUUdCQUFaQUFBQUJRWUVBQm9BQUFBQUJnSUFnQUFBQUFXQU9nQUFBQW9BQWdBNkFBUUdCQUFhQUFBQUJRWUVBQnNBQUFBQUJnSUFnQUFBQUFXQU93QUFBQW9BQWdBN0FBUUdCQUFXQUFBQUJRWUVBQnNBQUFBQUJnSUFnQUFBQUFlQVBnQUFBQVFDRUFDR09sOEFlbzRRQUlZNlh3QTFZUHYvQ2dBQ0FEd0FBQW9DQUFRQUJBb0NBQUVBRFFJTUFEVmcrLytHT2w4QUFBQUFBQTRDREFCNmpoQUFoanBmQUFBQUFBQVBBZ3dBTldENy84eG9kQUFBQUFBQUFBQUhnRDhBQUFBRUFoQUFBQUFBQU5COUpBQUFBQUFBVHFVVUFBb0FBZ0E5QUFBS0FnQUVBQVFLQWdBQkFBMENEQUJPcFJRQUFBQUFBQUFBQUFBT0Fnd0EwSDBrQUFBQUFBQUFBQUFBRHdJTUFFNmxGQUNCMkE4QUFBQUFBQUFBQjRCQUFBQUFCQUlRQUFBQUFBQTBNL3YvQUFBQUFPMEU1djhLQUFJQVBnQUFDZ0lBQkFBRUNnSUFBUUFOQWd3QTdRVG0vd0FBQUFBQUFBQUFEZ0lNQURReisvOEFBQUFBQUFBQUFBOENEQUR0Qk9iL1JpNFZBQUFBQUFBQUFBZUFRUUFBQUFRQ0VBQUFBQUFBbEZoL0FBQUFBQUJPS21vQUNnQUNBRDhBQUFvQ0FBUUFCQW9DQUFFQURRSU1BRTRxYWdBQUFBQUFBQUFBQUE0Q0RBQ1VXSDhBQUFBQUFBQUFBQUFQQWd3QVRpcHFBRVl1RlFBQUFBQUFBQUFBQUFBQUFBQUFBQT09</t>
        </r>
      </text>
    </comment>
    <comment ref="A6" authorId="0" shapeId="0" xr:uid="{00000000-0006-0000-0700-000004000000}">
      <text>
        <r>
          <rPr>
            <b/>
            <sz val="9"/>
            <color rgb="FF000000"/>
            <rFont val="Tahoma"/>
            <family val="2"/>
          </rPr>
          <t>QzE5SDIzTjNTfFNDSElTVE9TT01JQVNJU1BpY3R1cmUgOHxWbXBEUkRBeE1EQUVBd0lCQUFBQUFBQUFBQUFBQUFDQUFBQUFBQU1BRmdBQUFFTm9aVzFFY21GM0lERXlMakF1TWk0eE1EYzJCQUlRQUJiUTIvL2FpY3YvVHVCMUFMelhtUUFCQ1FnQUFBQUFBQUFBQUFBQ0NRZ0FBQURjQWdBQUtBSU5DQUVBQVFnSEFRQUJPZ1FCQUFFN0JBRUFBRVVFQVFBQlBBUUJBQUFNQmdFQUFROEdBUUFCRFFZQkFBQkNCQUVBQUVNRUFRQUFSQVFCQUFBS0NBZ0FBd0JnQU1nQUF3QUxDQWdBQkFBQUFQQUFBd0FKQ0FRQU03TUNBQWdJQkFBQUFBSUFCd2dFQUFBQUFRQUdDQVFBQUFBRUFBVUlCQUFBQUI0QUJBZ0NBSGdBQXdnRUFBQUFlQUFqQ0FFQUJRd0lBUUFBS0FnQkFBRXBDQUVBQVNvSUFRQUJBZ2dRQUFBQUpBQUFBQ1FBQUFBa0FBQUFKQUFCQXdJQUFBQUNBd0lBQVFBQUF3NEFBZ0QvLy8vLy8vOEFBQUFBQUFBQUFTUUFBQUFDQUFNQTVBUUZBRUZ5YVdGc0JBRGtCQThBVkdsdFpYTWdUbVYzSUZKdmJXRnVBWUE1QUFBQUJBSVFBQUFBQUFBQUFBQUFBSURHQkJCNGJRWVdDQVFBQUFBa0FCZ0lCQUFBQUNRQUdRZ0FBQkFJQWdBQkFBOElBZ0FCQUFPQU5BQUFBQVFDRUFBVzBOdi8yb25MLzA3Z2RRQzgxNWtBQklBQkFBQUFBQUlJQUVuY1V3Q2J0cGtBQ2dBQ0FBSUFOd1FCQUFFQUFBU0FBZ0FBQUFBQ0NBQ09HRXdBUzd4OEFBb0FBZ0FEQUFJRUFnQUhBQ3NFQWdBQUFFZ0VBQUFHZ0FBQUFBQUFBZ2dBd2F0UEFFc2tlUUFFQWhBQVdvVklBRXNrZVFEQnEwOEFmbGVBQUNNSUFRQUFBZ2NDQUFBQUFBY05BQUVBQUFBREFHQUF5QUFEQUU0QUFBQUFCSUFEQUFBQUFBSUlBQ0pQWVFDM2hXY0FDZ0FDQUFRQU53UUJBQUVBQUFTQUJBQUFBQUFDQ0FCbmkxa0FaNHRLQUFvQUFnQUZBRGNFQVFBQkFBQUVnQVVBQUFBQUFnZ0FHSkU4QUt6SFFnQUtBQUlBQmdBQ0JBSUFCd0FyQkFJQUFBQklCQUFBQm9BQUFBQUFBQUlJQUVza1FBQ3NMejhBQkFJUUFPWDlPQUNzTHo4QVN5UkFBTjlpUmdBakNBRUFBQUlIQWdBQUFBQUhEUUFCQUFBQUF3QmdBTWdBQXdCT0FBQUFBQVNBQmdBQUFBQUNDQUNEV2ljQVFmNVhBQW9BQWdBSEFEY0VBUUFCQUFBRWdBY0FBQUFBQWdnQVBoNHZBSkQ0ZEFBS0FBSUFDQUEzQkFFQUFRQUFCSUFJQUFBQUFBSUlBRjNOTkFCZHpTVUFDZ0FDQUFrQUFBQUVnQWtBQUFBQUFnZ0E4UU5LQU1pV0VBQUtBQUlBQ2dBQUFBU0FDZ0FBQUFBQ0NBQmtwV2NBTTBnVkFBb0FBZ0FMQUFBQUJJQUxBQUFBQUFJSUFBbEVkUUJHamZyL0NnQUNBQXdBQUFBRWdBd0FBQUFBQWdnQWRRMWdBTEZXNWY4S0FBSUFEUUFBQUFTQURRQUFBQUFDQ0FDSFVrVUFWL1h5L3dvQUFnQU9BQUlFQWdBUUFDc0VBZ0FBQUVnRUFBQUdnQUFBQUFBQUFnZ0FoL0pJQUZlWjcvOEVBaEFBaDdKQkFGZVo3LzhnREVrQXZULzIveU1JQVFBQUFnY0NBQUFBQUFjTkFBRUFBQUFEQUdBQXlBQURBRk1BQUFBQUJJQU9BQUFBQUFJSUFFQkZHQUFkaUJ3QUNnQUNBQThBQUFBRWdBOEFBQUFBQWdnQUFBQUFBRTRxTGdBS0FBSUFFQUFBQUFTQUVBQUFBQUFDQ0FBQUFBQUFUaXBNQUFvQUFnQVJBRGNFQVFBQkFBQUVnQkVBQUFBQUFnZ0F3THJuL3gySUhBQUtBQUlBRWdBQ0JBSUFCd0FyQkFJQUFRQklCQUFBQm9BQUFBQUFBQUlJQUh6MjR2OGQ4QmdBQkFJUUFCYlEyLzhkOEJnQTlFM3IvMUFqSUFBakNBRUFBQUlIQWdBQUFBVUhBUUFFQkFjR0FBSUFBZ0FEQUFBSERnQUJBQUFBQXdCZ0FNZ0FBd0JPU0FBQUFBQUVnQklBQUFBQUFnZ0FBQUR4L3dBQUFBQUtBQUlBRXdBQUFBU0FFd0FBQUFBQ0NBQUJBT0wvN1FUbS93b0FBZ0FVQUFBQUJJQVVBQUFBQUFJSUFBRUE4Zi9hQ2N6L0NnQUNBQlVBQUFBRWdCVUFBQUFBQWdnQUFBQVBBTm9KelA4S0FBSUFGZ0FBQUFTQUZnQUFBQUFDQ0FBQUFCNEE3UVRtL3dvQUFnQVhBQUFBQklBWEFBQUFBQUlJQUFBQUR3QUFBQUFBQ2dBQ0FCZ0FBQUFGZ0JrQUFBQUtBQUlBR1FBRUJnUUFBUUFBQUFVR0JBQUNBQUFBQ2dZQkFBRUFBQVdBR2dBQUFBb0FBZ0FhQUFRR0JBQUNBQUFBQlFZRUFBTUFBQUFLQmdFQUFRQUFCWUFiQUFBQUNnQUNBQnNBQkFZRUFBTUFBQUFGQmdRQUJBQUFBQW9HQVFBQkFBQUZnQndBQUFBS0FBSUFIQUFFQmdRQUJBQUFBQVVHQkFBRkFBQUFDZ1lCQUFFQUFBV0FIUUFBQUFvQUFnQWRBQVFHQkFBRkFBQUFCUVlFQUFZQUFBQUtCZ0VBQVFBQUJZQWVBQUFBQ2dBQ0FCNEFCQVlFQUFZQUFBQUZCZ1FBQndBQUFBb0dBUUFCQUFBRmdCOEFBQUFLQUFJQUh3QUVCZ1FBQWdBQUFBVUdCQUFIQUFBQUNnWUJBQUVBQUFXQUlBQUFBQW9BQWdBZ0FBUUdCQUFGQUFBQUJRWUVBQWdBQUFBS0JnRUFBUUFBQllBaEFBQUFDZ0FDQUNFQUJBWUVBQWdBQUFBRkJnUUFDUUFBQUFvR0FRQUJBQUFGZ0NJQUFBQUtBQUlBSWdBRUJnUUFDUUFBQUFVR0JBQUtBQUFBQUFZQ0FJQUFBQUFGZ0NNQUFBQUtBQUlBSXdBRUJnUUFDZ0FBQUFVR0JBQUxBQUFBQUFZQ0FJQUFBQUFGZ0NRQUFBQUtBQUlBSkFBRUJnUUFDd0FBQUFVR0JBQU1BQUFBQUFZQ0FJQUFBQUFGZ0NVQUFBQUtBQUlBSlFBRUJnUUFEQUFBQUFVR0JBQU5BQUFBQUFZQ0FJQUFBQUFGZ0NZQUFBQUtBQUlBSmdBRUJnUUFDUUFBQUFVR0JBQU5BQUFBQUFZQ0FJQUFBQUFGZ0NjQUFBQUtBQUlBSndBRUJnUUFDQUFBQUFVR0JBQU9BQUFBQ2dZQkFBRUFBQVdBS0FBQUFBb0FBZ0FvQUFRR0JBQU9BQUFBQlFZRUFBOEFBQUFBQmdJQWdBQUFBQVdBS1FBQUFBb0FBZ0FwQUFRR0JBQVBBQUFBQlFZRUFCQUFBQUFLQmdFQUFRQUFCWUFxQUFBQUNnQUNBQ29BQkFZRUFBOEFBQUFGQmdRQUVRQUFBQUFHQWdDQUFBQUFCWUFyQUFBQUNnQUNBQ3NBQkFZRUFCRUFBQUFGQmdRQUVnQUFBQUFHQWdDQUFBQUFCWUFzQUFBQUNnQUNBQ3dBQkFZRUFCSUFBQUFGQmdRQUV3QUFBQUFHQWdDQUFBQUFCWUF0QUFBQUNnQUNBQzBBQkFZRUFCTUFBQUFGQmdRQUZBQUFBQUFHQWdDQUFBQUFCWUF1QUFBQUNnQUNBQzRBQkFZRUFCUUFBQUFGQmdRQUZRQUFBQUFHQWdDQUFBQUFCWUF2QUFBQUNnQUNBQzhBQkFZRUFCVUFBQUFGQmdRQUZnQUFBQUFHQWdDQUFBQUFCWUF3QUFBQUNnQUNBREFBQkFZRUFCWUFBQUFGQmdRQUZ3QUFBQUFHQWdDQUFBQUFCWUF4QUFBQUNnQUNBREVBQkFZRUFBNEFBQUFGQmdRQUZ3QUFBQUFHQWdDQUFBQUFCWUF5QUFBQUNnQUNBRElBQkFZRUFCSUFBQUFGQmdRQUZ3QUFBQUFHQWdDQUFBQUFCNEExQUFBQUJBSVFBSGdQWEFERFl3NEFlQTljQUVLTC92OEtBQUlBTXdBQUNnSUFCQUFFQ2dJQUFRQU5BZ3dBUW92Ky8zZ1BYQUFBQUFBQURnSU1BTU5qRGdCNEQxd0FBQUFBQUE4Q0RBQkNpLzcvK3VkckFBQUFBQUFBQUFlQU5nQUFBQVFDRUFBQUFBQUEwSDBrQUFBQUFBQk9wUlFBQ2dBQ0FEUUFBQW9DQUFRQUJBb0NBQUVBRFFJTUFFNmxGQUFBQUFBQUFBQUFBQTRDREFEUWZTUUFBQUFBQUFBQUFBQVBBZ3dBVHFVVUFJSFlEd0FBQUFBQUFBQUhnRGNBQUFBRUFoQUFBQUFBQURReisvOEFBQUFBN1FUbS93b0FBZ0ExQUFBS0FnQUVBQVFLQWdBQkFBMENEQUR0Qk9iL0FBQUFBQUFBQUFBT0Fnd0FORFA3L3dBQUFBQUFBQUFBRHdJTUFPMEU1djlHTGhVQUFBQUFBQUFBQUFBQUFBQUFBQUE9</t>
        </r>
      </text>
    </comment>
    <comment ref="A7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QzI0SDE3TjNPfFNDSElTVE9TT01JQVNJU1BpY3R1cmUgM3xWbXBEUkRBeE1EQUVBd0lCQUFBQUFBQUFBQUFBQUFDQUFBQUFBQU1BRmdBQUFFTm9aVzFFY21GM0lERXlMakF1TWk0eE1EYzJCQUlRQUJiUTIvOGF1OGYrTTVOT0FJWElMZ0FCQ1FnQUFBQUFBQUFBQUFBQ0NRZ0FBQURjQWdBQUtBSU5DQUVBQVFnSEFRQUJPZ1FCQUFFN0JBRUFBRVVFQVFBQlBBUUJBQUFNQmdFQUFROEdBUUFCRFFZQkFBQkNCQUVBQUVNRUFRQUFSQVFCQUFBS0NBZ0FBd0JnQU1nQUF3QUxDQWdBQkFBQUFQQUFBd0FKQ0FRQU03TUNBQWdJQkFBQUFBSUFCd2dFQUFBQUFRQUdDQVFBQUFBRUFBVUlCQUFBQUI0QUJBZ0NBSGdBQXdnRUFBQUFlQUFqQ0FFQUJRd0lBUUFBS0FnQkFBRXBDQUVBQVNvSUFRQUJBZ2dRQUFBQUpBQUFBQ1FBQUFBa0FBQUFKQUFCQXdJQUFBQUNBd0lBQVFBQUF3NEFBZ0QvLy8vLy8vOEFBQUFBQUFBQUFTUUFBQUFDQUFNQTVBUUZBRUZ5YVdGc0JBRGtCQThBVkdsdFpYTWdUbVYzSUZKdmJXRnVBWUJHQUFBQUJBSVFBQUFBQUFBQUFBQUFBSURHQkJCNGJRWVdDQVFBQUFBa0FCZ0lCQUFBQUNRQUdRZ0FBQkFJQWdBQkFBOElBZ0FCQUFPQVB3QUFBQVFDRUFBVzBOdi9HcnZIL2pPVFRnQ0Z5QzRBQklBQkFBQUFBQUlJQUFBQTR2OVRMQmIvQ2dBQ0FBSUFBZ1FDQUFnQUt3UUNBQUFBU0FRQUFEY0VBUUFCQm9BQUFBQUFBQUlJQUFDZzVmOVRSQkwvQkFJUUFBQmczdjlUUkJML21ybmwvMU1FR3Y4akNBRUFBQUlIQWdBQUFBQUhEUUFCQUFBQUF3QmdBTWdBQXdCUEFBQUFBQVNBQWdBQUFBQUNDQUFBQVBIL1FESDgvZ29BQWdBREFBQUFCSUFEQUFBQUFBSUlBUC8vRGdCQU1meitDZ0FDQUFRQUFBQUVnQVFBQUFBQUFnZ0FBQUFlQUMwMjR2NEtBQUlBQlFBQUFBU0FCUUFBQUFBQ0NBQUFBQThBR2p2SS9nb0FBZ0FHQUFBQUJJQUdBQUFBQUFJSUFBRUE4ZjhhTzhqK0NnQUNBQWNBQUFBRWdBY0FBQUFBQWdnQUFBRGkveTAyNHY0S0FBSUFDQUFBQUFTQUNBQUFBQUFDQ0FBQUFQSC9aeWN3L3dvQUFnQUpBQUFBQklBSkFBQUFBQUlJQUFBQTR2OTZJa3IvQ2dBQ0FBb0FBQUFFZ0FvQUFBQUFBZ2dBQUFEeC80MGRaUDhLQUFJQUN3QUFBQVNBQ3dBQUFBQUNDQUFBQUE4QWpSMWsvd29BQWdBTUFBQUFCSUFNQUFBQUFBSUlBUC8vSFFCNklrci9DZ0FDQUEwQUFBQUVnQTBBQUFBQUFnZ0EvLzhPQUdjbk1QOEtBQUlBRGdBQUFBU0FEZ0FBQUFBQ0NBRC8veDBBb0JoKy93b0FBZ0FQQUFBQUJJQVBBQUFBQUFJSUFBQUFQQUNnR0g3L0NnQUNBQkFBQUFBRWdCQUFBQUFBQWdnQUFBQkxBTFFUbVA4S0FBSUFFUUFDQkFJQUJ3QXJCQUlBQUFCSUJBQUFCb0FBQUFBQUFBSUlBRE9UVGdDMGU1VC9CQUlRQU14c1J3QzBlNVQvTTVOT0FPZXVtLzhqQ0FFQUFBSUhBZ0FBQUFBSERRQUJBQUFBQXdCZ0FNZ0FBd0JPQUFBQUFBU0FFUUFBQUFBQ0NBQUFBRHdBeHc2eS93b0FBZ0FTQUFBQUJJQVNBQUFBQUFJSUFBQUFIZ0RIRHJML0NnQUNBQk1BQUFBRWdCTUFBQUFBQWdnQUFBQVBBTFFUbVA4S0FBSUFGQUFDQkFJQUJ3QXJCQUlBQUFCSUJBQUFCb0FBQUFBQUFBSUlBRE9URWdDMGU1VC9CQUlRQU14c0N3QzBlNVQvTTVNU0FPZXVtLzhqQ0FFQUFBSUhBZ0FBQUFBSERRQUJBQUFBQXdCZ0FNZ0FBd0JPQUFBQUFBU0FGQUFBQUFBQ0NBQUFBQThBMmduTS93b0FBZ0FWQUFBQUJJQVZBQUFBQUFJSUFBRUE4Zi9hQ2N6L0NnQUNBQllBQUFBRWdCWUFBQUFBQWdnQUFBRGkvKzBFNXY4S0FBSUFGd0FBQUFTQUZ3QUFBQUFDQ0FBQUFQSC9BQUFBQUFvQUFnQVlBQUFBQklBWUFBQUFBQUlJQU1DNjUvOGRpQndBQ2dBQ0FCa0FBZ1FDQUFjQUt3UUNBQUVBU0FRQUFBYUFBQUFBQUFBQ0NBQjg5dUwvSGZBWUFBUUNFQUFXME52L0hmQVlBUFJONi85UUl5QUFJd2dCQUFBQ0J3SUFBQUFGQndFQUJBUUhCZ0FDQUFJQUF3QUFCdzRBQVFBQUFBTUFZQURJQUFNQVRrZ0FBQUFBQklBWkFBQUFBQUlJQUFBQUFBQk9LaTRBQ2dBQ0FCb0FBQUFFZ0JvQUFBQUFBZ2dBUUVVWUFCMklIQUFLQUFJQUd3QUFBQVNBR3dBQUFBQUNDQUQvL3c0QUFBQUFBQW9BQWdBY0FBQUFCSUFjQUFBQUFBSUlBQUFBSGdEdEJPYi9DZ0FDQUIwQUFBQUZnQjRBQUFBS0FBSUFIZ0FFQmdRQUFRQUFBQVVHQkFBQ0FBQUFDZ1lCQUFFQUFBV0FId0FBQUFvQUFnQWZBQVFHQkFBQ0FBQUFCUVlFQUFNQUFBQUFCZ0lBZ0FBQUFBV0FJQUFBQUFvQUFnQWdBQVFHQkFBREFBQUFCUVlFQUFRQUFBQUFCZ0lBZ0FBQUFBV0FJUUFBQUFvQUFnQWhBQVFHQkFBRUFBQUFCUVlFQUFVQUFBQUFCZ0lBZ0FBQUFBV0FJZ0FBQUFvQUFnQWlBQVFHQkFBRkFBQUFCUVlFQUFZQUFBQUFCZ0lBZ0FBQUFBV0FJd0FBQUFvQUFnQWpBQVFHQkFBR0FBQUFCUVlFQUFjQUFBQUFCZ0lBZ0FBQUFBV0FKQUFBQUFvQUFnQWtBQVFHQkFBQ0FBQUFCUVlFQUFjQUFBQUFCZ0lBZ0FBQUFBV0FKUUFBQUFvQUFnQWxBQVFHQkFBQkFBQUFCUVlFQUFnQUFBQUtCZ0VBQVFBQUJZQW1BQUFBQ2dBQ0FDWUFCQVlFQUFnQUFBQUZCZ1FBQ1FBQUFBQUdBZ0NBQUFBQUJZQW5BQUFBQ2dBQ0FDY0FCQVlFQUFrQUFBQUZCZ1FBQ2dBQUFBQUdBZ0NBQUFBQUJZQW9BQUFBQ2dBQ0FDZ0FCQVlFQUFvQUFBQUZCZ1FBQ3dBQUFBQUdBZ0NBQUFBQUJZQXBBQUFBQ2dBQ0FDa0FCQVlFQUFzQUFBQUZCZ1FBREFBQUFBQUdBZ0NBQUFBQUJZQXFBQUFBQ2dBQ0FDb0FCQVlFQUF3QUFBQUZCZ1FBRFFBQUFBQUdBZ0NBQUFBQUJZQXJBQUFBQ2dBQ0FDc0FCQVlFQUFnQUFBQUZCZ1FBRFFBQUFBQUdBZ0NBQUFBQUJZQXNBQUFBQ2dBQ0FDd0FCQVlFQUFzQUFBQUZCZ1FBRGdBQUFBQUFCWUF0QUFBQUNnQUNBQzBBQkFZRUFBNEFBQUFGQmdRQUR3QUFBQUFHQWdDQUFBQUFCWUF1QUFBQUNnQUNBQzRBQkFZRUFBOEFBQUFGQmdRQUVBQUFBQUFHQWdDQUFBQUFCWUF2QUFBQUNnQUNBQzhBQkFZRUFCQUFBQUFGQmdRQUVRQUFBQUFHQWdDQUFBQUFCWUF3QUFBQUNnQUNBREFBQkFZRUFCRUFBQUFGQmdRQUVnQUFBQUFHQWdDQUFBQUFCWUF4QUFBQUNnQUNBREVBQkFZRUFCSUFBQUFGQmdRQUV3QUFBQUFHQWdDQUFBQUFCWUF5QUFBQUNnQUNBRElBQkFZRUFBNEFBQUFGQmdRQUV3QUFBQUFHQWdDQUFBQUFCWUF6QUFBQUNnQUNBRE1BQkFZRUFCSUFBQUFGQmdRQUZBQUFBQUFBQllBMEFBQUFDZ0FDQURRQUJBWUVBQlFBQUFBRkJnUUFGUUFBQUFBR0FnQ0FBQUFBQllBMUFBQUFDZ0FDQURVQUJBWUVBQlVBQUFBRkJnUUFGZ0FBQUFBR0FnQ0FBQUFBQllBMkFBQUFDZ0FDQURZQUJBWUVBQllBQUFBRkJnUUFGd0FBQUFBR0FnQ0FBQUFBQllBM0FBQUFDZ0FDQURjQUJBWUVBQmNBQUFBRkJnUUFHQUFBQUFBR0FnQ0FBQUFBQllBNEFBQUFDZ0FDQURnQUJBWUVBQmdBQUFBRkJnUUFHUUFBQUFBR0FnQ0FBQUFBQllBNUFBQUFDZ0FDQURrQUJBWUVBQmtBQUFBRkJnUUFHZ0FBQUFBR0FnQ0FBQUFBQllBNkFBQUFDZ0FDQURvQUJBWUVBQm9BQUFBRkJnUUFHd0FBQUFBR0FnQ0FBQUFBQllBN0FBQUFDZ0FDQURzQUJBWUVBQmNBQUFBRkJnUUFHd0FBQUFBR0FnQ0FBQUFBQllBOEFBQUFDZ0FDQUR3QUJBWUVBQnNBQUFBRkJnUUFIQUFBQUFBR0FnQ0FBQUFBQllBOUFBQUFDZ0FDQUQwQUJBWUVBQlFBQUFBRkJnUUFIQUFBQUFBR0FnQ0FBQUFBQjRCQUFBQUFCQUlRQUFBQUFBQnpaUGYrQUFBQUFDMDI0djRLQUFJQVBnQUFDZ0lBQkFBRUNnSUFBUUFOQWd3QUxUYmkvZ0FBQUFBQUFBQUFEZ0lNQUhOazkvNEFBQUFBQUFBQUFBOENEQUF0TnVMK1JpNFZBQUFBQUFBQUFBZUFRUUFBQUFRQ0VBQUFBQUFBd0ZCZi93QUFBQUI2SWtyL0NnQUNBRDhBQUFvQ0FBUUFCQW9DQUFFQURRSU1BSG9pU3Y4QUFBQUFBQUFBQUE0Q0RBREFVRi8vQUFBQUFBQUFBQUFQQWd3QWVpSksvMFl1RlFBQUFBQUFBQUFIZ0VJQUFBQUVBaEFBQUFBdEFQcEJyZjhBQUMwQXRCT1kvd29BQWdCQUFBQUtBZ0FFQUFRS0FnQUJBQTBDREFDMEU1ai9BQUF0QUFBQUFBQU9BZ3dBK2tHdC93QUFMUUFBQUFBQUR3SU1BTFFUbVA5R0xrSUFBQUFBQUFBQUI0QkRBQUFBQkFJUUFBQUFBQUEwTS92L0FBQUFBTzBFNXY4S0FBSUFRUUFBQ2dJQUJBQUVDZ0lBQVFBTkFnd0E3UVRtL3dBQUFBQUFBQUFBRGdJTUFEUXorLzhBQUFBQUFBQUFBQThDREFEdEJPYi9SaTRWQUFBQUFBQUFBQWVBUkFBQUFBUUNFQUFBQUFBQTBIMGtBQUFBQUFCT3BSUUFDZ0FDQUVJQUFBb0NBQVFBQkFvQ0FBRUFEUUlNQUU2bEZBQUFBQUFBQUFBQUFBNENEQURRZlNRQUFBQUFBQUFBQUFBUEFnd0FUcVVVQUlIWUR3QUFBQUFBQUFBQUFBQUFBQUFBQUE9PQ==</t>
        </r>
      </text>
    </comment>
    <comment ref="A8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QzIwSDIzTjdPfFNDSElTVE9TT01JQVNJU1BpY3R1cmUgMXxWbXBEUkRBeE1EQUVBd0lCQUFBQUFBQUFBQUFBQUFDQUFBQUFBQU1BRmdBQUFFTm9aVzFFY21GM0lERXlMakF1TWk0eE1EYzJCQUlRQU5KNndmK2FkQTMvbWJsN0FJSEZNUUFCQ1FnQUFBQUFBQUFBQUFBQ0NRZ0FBQURjQWdBQUtBSU5DQUVBQVFnSEFRQUJPZ1FCQUFFN0JBRUFBRVVFQVFBQlBBUUJBQUFNQmdFQUFROEdBUUFCRFFZQkFBQkNCQUVBQUVNRUFRQUFSQVFCQUFBS0NBZ0FBd0JnQU1nQUF3QUxDQWdBQkFBQUFQQUFBd0FKQ0FRQU03TUNBQWdJQkFBQUFBSUFCd2dFQUFBQUFRQUdDQVFBQUFBRUFBVUlCQUFBQUI0QUJBZ0NBSGdBQXdnRUFBQUFlQUFqQ0FFQUJRd0lBUUFBS0FnQkFBRXBDQUVBQVNvSUFRQUJBZ2dRQUFBQUpBQUFBQ1FBQUFBa0FBQUFKQUFCQXdJQUFBQUNBd0lBQVFBQUF3NEFBZ0QvLy8vLy8vOEFBQUFBQUFBQUFTUUFBQUFDQUFNQTVBUUZBRUZ5YVdGc0JBRGtCQThBVkdsdFpYTWdUbVYzSUZKdmJXRnVBWUJGQUFBQUJBSVFBQUFBQUFBQUFBQUFBSURHQkNyelJnWVdDQVFBQUFBa0FCZ0lCQUFBQUNRQUdRZ0FBQkFJQWdBQkFBOElBZ0FCQUFPQVB3QUFBQVFDRUFEU2VzSC9tblFOLzVtNWV3Q0J4VEVBQklBQkFBQUFBQUlJQUtNeXkvOWR6U1VBQ2dBQ0FBSUFOd1FCQUFFQUFBU0FBZ0FBQUFBQ0NBREF1dWYvSFlnY0FBb0FBZ0FEQUFJRUFnQUhBQ3NFQWdBQUFFZ0VBQUFHZ0FBQUFBQUFBZ2dBOUUzci94M3dHQUFFQWhBQWpTZmsveDN3R0FEMFRldi9VQ01nQUNNSUFRQUFBZ2NDQUFBQUFBY05BQUVBQUFBREFHQUF5QUFEQUU0QUFBQUFCSUFEQUFBQUFBSUlBQUFBQUFCT0tpNEFDZ0FDQUFRQUFnUUNBQWNBS3dRQ0FBQUFTQVFBQUFhQUFBQUFBQUFDQ0FBemt3TUFUcElxQUFRQ0VBRE5iUHovVHBJcUFET1RBd0NCeFRFQUl3Z0JBQUFDQndJQUFBQUFCdzBBQVFBQUFBTUFZQURJQUFNQVRnQUFBQUFFZ0FRQUFBQUFBZ2dBUUVVWUFCMklIQUFLQUFJQUJRQUFBQVNBQlFBQUFBQUNDQUFBQUE4QUFBQUFBQW9BQWdBR0FBQUFCSUFHQUFBQUFBSUlBUC8vSFFEdEJPYi9DZ0FDQUFjQUFBQUVnQWNBQUFBQUFnZ0EvLzhPQU5vSnpQOEtBQUlBQ0FBQ0JBSUFCd0FyQkFJQUFBQklCQUFBQm9BQUFBQUFBQUlJQURPVEVnRGFjY2ovQkFJUUFNeHNDd0RhY2NqL001TVNBQTJsei84akNBRUFBQUlIQWdBQUFBQUhEUUFCQUFBQUF3QmdBTWdBQXdCT0FBQUFBQVNBQ0FBQUFBQUNDQUFBQVBILzJnbk0vd29BQWdBSkFBQUFCSUFKQUFBQUFBSUlBQUFBNHYvSERyTC9DZ0FDQUFvQUFnUUNBQWNBS3dRQ0FBRUFTQVFBQURjRUFRQUJCb0FBQUFBQUFBSUlBTHc3M2YvSGRxNy9CQUlRQUZZVjF2L0hkcTcvTkpQbC8vcXB0ZjhqQ0FFQUFBSUhBZ0FBQUFVSEFRQUVCQWNHQUFJQUFnQURBQUFIRGdBQkFBQUFBd0JnQU1nQUF3Qk9TQUFBQUFBRWdBb0FBQUFBQWdnQUFBRHgvN1FUbVA4S0FBSUFDd0EzQkFFQUFRQUFCSUFMQUFBQUFBSUlBQUFBNHYrZ0dINy9DZ0FDQUF3QU53UUJBQUVBQUFTQURBQUFBQUFDQ0FBQUFQSC9qUjFrL3dvQUFnQU5BQUFBQklBTkFBQUFBQUlJQU8zVkRnREcrbUQvQ2dBQ0FBNEFBQUFFZ0E0QUFBQUFBZ2dBc0JJVkFKbWlRLzhLQUFJQUR3QUNCQUlBQndBckJBSUFBUUJJQkFBQUJvQUFBQUFBQUFJSUFPT2xHQUNaT2tmL0JBSVFBSDEvRVFBejFEai80NlVZQUprNlIvOGpDQUVBL3dFSEFRRC9BZ2NDQUFBQUJRY0JBQU1BQnc0QUFRQUFBQU1BWUFESUFBTUFUa2dBQUFBQUJJQVBBQUFBQUFJSUFKNFgrLytab2pUL0NnQUNBQkFBQUFBRWdCQUFBQUFBQWdnQTI5cjAvMjFLRi84S0FBSUFFUUFBQUFTQUVRQUFBQUFDQ0FDK1V0ai9MUVVPL3dvQUFnQVNBQUFBQklBU0FBQUFBQUlJQUdRSHd2OFpHQ0wvQ2dBQ0FCTUFBQUFFZ0JNQUFBQUFBZ2dBSjBUSS8wWndQLzhLQUFJQUZBQUFBQVNBRkFBQUFBQUNDQUJFek9UL2hyVkkvd29BQWdBVkFBQUFCSUFWQUFBQUFBSUlBQUFBNHYvdEJPYi9DZ0FDQUJZQUFnUUNBQWNBS3dRQ0FBQUFTQVFBQUFhQUFBQUFBQUFDQ0FBMGsrWC83V3ppL3dRQ0VBRE5iTjcvN1d6aS96U1Q1Zjhnb09uL0l3Z0JBQUFDQndJQUFBQUFCdzBBQVFBQUFBTUFZQURJQUFNQVRnQUFBQUFFZ0JZQUFBQUFBZ2dBQUFEeC93QUFBQUFLQUFJQUZ3QUFBQVNBRndBQUFBQUNDQUQvL3pzQTdRVG0vd29BQWdBWUFBSUVBZ0FIQUNzRUFnQUFBRWdFQUFBR2dBQUFBQUFBQWdnQU01TS9BTzFzNHY4RUFoQUF6R3c0QU8xczR2OHprejhBSUtEcC95TUlBUUFBQWdjQ0FBQUFBQWNOQUFFQUFBQURBR0FBeUFBREFFNEFBQUFBQklBWUFBQUFBQUlJQUFBQVN3QUFBQUFBQ2dBQ0FCa0FOd1FCQUFFQUFBU0FHUUFBQUFBQ0NBQUFBR2tBQUFBQUFBb0FBZ0FhQURjRUFRQUJBQUFFZ0JvQUFBQUFBZ2dBQUFCNEFPMEU1djhLQUFJQUd3QUNCQUlBQ0FBckJBSUFBQUJJQkFBQU53UUJBQUVHZ0FBQUFBQUFBZ2dBQUtCN0FPMGM0djhFQWhBQUFHQjBBTzBjNHYrWnVYc0E3ZHpwL3lNSUFRQUFBZ2NDQUFBQUFBY05BQUVBQUFBREFHQUF5QUFEQUU4QUFBQUFCSUFiQUFBQUFBSUlBUC8vYUFEYUNjei9DZ0FDQUJ3QU53UUJBQUVBQUFTQUhBQUFBQUFDQ0FELy8wb0EyZ25NL3dvQUFnQWRBRGNFQVFBQkFBQUZnQjRBQUFBS0FBSUFIZ0FFQmdRQUFRQUFBQVVHQkFBQ0FBQUFDZ1lCQUFFQUFBV0FId0FBQUFvQUFnQWZBQVFHQkFBQ0FBQUFCUVlFQUFNQUFBQUFCZ0lBZ0FBQUFBV0FJQUFBQUFvQUFnQWdBQVFHQkFBREFBQUFCUVlFQUFRQUFBQUFCZ0lBZ0FBQUFBV0FJUUFBQUFvQUFnQWhBQVFHQkFBRUFBQUFCUVlFQUFVQUFBQUFCZ0lBZ0FBQUFBV0FJZ0FBQUFvQUFnQWlBQVFHQkFBRkFBQUFCUVlFQUFZQUFBQUFCZ0lBZ0FBQUFBV0FJd0FBQUFvQUFnQWpBQVFHQkFBR0FBQUFCUVlFQUFjQUFBQUFCZ0lBZ0FBQUFBV0FKQUFBQUFvQUFnQWtBQVFHQkFBSEFBQUFCUVlFQUFnQUFBQUFCZ0lBZ0FBQUFBV0FKUUFBQUFvQUFnQWxBQVFHQkFBSUFBQUFCUVlFQUFrQUFBQUtCZ0VBQVFBQUJZQW1BQUFBQ2dBQ0FDWUFCQVlFQUFrQUFBQUZCZ1FBQ2dBQUFBb0dBUUFCQUFBRmdDY0FBQUFLQUFJQUp3QUVCZ1FBQ2dBQUFBVUdCQUFMQUFBQUNnWUJBQUVBQUFXQUtBQUFBQW9BQWdBb0FBUUdCQUFMQUFBQUJRWUVBQXdBQUFBS0JnRUFBUUFBQllBcEFBQUFDZ0FDQUNrQUJBWUVBQXdBQUFBRkJnUUFEUUFBQUFBR0FnQ0FBQUFBQllBcUFBQUFDZ0FDQUNvQUJBWUVBQTBBQUFBRkJnUUFEZ0FBQUFBR0FnQ0FBQUFBQllBckFBQUFDZ0FDQUNzQUJBWUVBQTRBQUFBRkJnUUFEd0FBQUFBR0FnQ0FBQUFBQllBc0FBQUFDZ0FDQUN3QUJBWUVBQThBQUFBRkJnUUFFQUFBQUFBR0FnQ0FBQUFBQllBdEFBQUFDZ0FDQUMwQUJBWUVBQkFBQUFBRkJnUUFFUUFBQUFBR0FnQ0FBQUFBQllBdUFBQUFDZ0FDQUM0QUJBWUVBQkVBQUFBRkJnUUFFZ0FBQUFBR0FnQ0FBQUFBQllBdkFBQUFDZ0FDQUM4QUJBWUVBQklBQUFBRkJnUUFFd0FBQUFBR0FnQ0FBQUFBQllBd0FBQUFDZ0FDQURBQUJBWUVBQk1BQUFBRkJnUUFGQUFBQUFBR0FnQ0FBQUFBQllBeEFBQUFDZ0FDQURFQUJBWUVBQXdBQUFBRkJnUUFGQUFBQUFBR0FnQ0FBQUFBQllBeUFBQUFDZ0FDQURJQUJBWUVBQThBQUFBRkJnUUFGQUFBQUFBR0FnQ0FBQUFBQllBekFBQUFDZ0FDQURNQUJBWUVBQWdBQUFBRkJnUUFGUUFBQUFBR0FnQ0FBQUFBQllBMEFBQUFDZ0FDQURRQUJBWUVBQlVBQUFBRkJnUUFGZ0FBQUFBR0FnQ0FBQUFBQllBMUFBQUFDZ0FDQURVQUJBWUVBQUlBQUFBRkJnUUFGZ0FBQUFBR0FnQ0FBQUFBQllBMkFBQUFDZ0FDQURZQUJBWUVBQVVBQUFBRkJnUUFGZ0FBQUFBR0FnQ0FBQUFBQllBM0FBQUFDZ0FDQURjQUJBWUVBQVlBQUFBRkJnUUFGd0FBQUFvR0FRQUJBQUFGZ0RnQUFBQUtBQUlBT0FBRUJnUUFGd0FBQUFVR0JBQVlBQUFBQ2dZQkFBRUFBQVdBT1FBQUFBb0FBZ0E1QUFRR0JBQVlBQUFBQlFZRUFCa0FBQUFLQmdFQUFRQUFCWUE2QUFBQUNnQUNBRG9BQkFZRUFCa0FBQUFGQmdRQUdnQUFBQW9HQVFBQkFBQUZnRHNBQUFBS0FBSUFPd0FFQmdRQUdnQUFBQVVHQkFBYkFBQUFDZ1lCQUFFQUFBV0FQQUFBQUFvQUFnQThBQVFHQkFBYkFBQUFCUVlFQUJ3QUFBQUtCZ0VBQVFBQUJZQTlBQUFBQ2dBQ0FEMEFCQVlFQUJjQUFBQUZCZ1FBSEFBQUFBb0dBUUFCQUFBSGdFQUFBQUFFQWhBQUFBQUFBTkI5SkFBQUFBQUFUcVVVQUFvQUFnQStBQkFBUndBQUFGUm9aWEpsSUdseklHRWdkbUZzWlc1alpTQnZjaUJqYUdGeVoyVWdaWEp5YjNJZ2MyOXRaWGRvWlhKbElHbHVJSFJvYVhNZ1lYSnZiV0YwYVdNZ2MzbHpkR1Z0TGdBS0FnQUVBQVFLQWdBQkFBMENEQUJPcFJRQUFBQUFBQUFBQUFBT0Fnd0EwSDBrQUFBQUFBQUFBQUFBRHdJTUFFNmxGQUNCMkE4QUFBQUFBQUFBQjRCQkFBQUFCQUlRQUFBQUFBQTBNL3YvQUFBQUFPMEU1djhLQUFJQVB3QUFDZ0lBQkFBRUNnSUFBUUFOQWd3QTdRVG0vd0FBQUFBQUFBQUFEZ0lNQURReisvOEFBQUFBQUFBQUFBOENEQUR0Qk9iL1JpNFZBQUFBQUFBQUFBZUFRZ0FBQUFRQ0VBQ0F3djMvVWR4ZC80REMvZi9QQTA3L0NnQUNBRUFBQUFvQ0FBUUFCQW9DQUFFQURRSU1BTThEVHYrQXd2My9BQUFBQUE0Q0RBQlIzRjMvZ01MOS93QUFBQUFQQWd3QXp3Tk8vd0diRFFBQUFBQUFBQUFIZ0VNQUFBQUVBaEFBZ1kvZS82Q0xRUCtCajk3L1dWMHIvd29BQWdCQkFBQUtBZ0FFQUFRS0FnQUJBQTBDREFCWlhTdi9nWS9lL3dBQUFBQU9BZ3dBb0l0QS80R1AzdjhBQUFBQUR3SU1BRmxkSy8vSHZmUC9BQUFBQUFBQUFBQUFBQUFBQUFBPQ==</t>
        </r>
      </text>
    </comment>
    <comment ref="A9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QzIySDIxTjNPMnxTQ0hJU1RPU09NSUFTSVNQaWN0dXJlIDV8Vm1wRFJEQXhNREFFQXdJQkFBQUFBQUFBQUFBQUFBQ0FBQUFBQUFNQUZnQUFBRU5vWlcxRWNtRjNJREV5TGpBdU1pNHhNRGMyQkFJUUFETnM0ZjluNXkvL3F4K1JBT2NQWHdBQkNRZ0FBQUFBQUFBQUFBQUNDUWdBQUFEY0FnQUFLQUlOQ0FFQUFRZ0hBUUFCT2dRQkFBRTdCQUVBQUVVRUFRQUJQQVFCQUFBTUJnRUFBUThHQVFBQkRRWUJBQUJDQkFFQUFFTUVBUUFBUkFRQkFBQUtDQWdBQXdCZ0FNZ0FBd0FMQ0FnQUJBQUFBUEFBQXdBSkNBUUFNN01DQUFnSUJBQUFBQUlBQndnRUFBQUFBUUFHQ0FRQUFBQUVBQVVJQkFBQUFCNEFCQWdDQUhnQUF3Z0VBQUFBZUFBakNBRUFCUXdJQVFBQUtBZ0JBQUVwQ0FFQUFTb0lBUUFCQWdnUUFBQUFKQUFBQUNRQUFBQWtBQUFBSkFBQkF3SUFBQUFDQXdJQUFRQUFBdzRBQWdELy8vLy8vLzhBQUFBQUFBQUFBU1FBQUFBQ0FBTUE1QVFGQUVGeWFXRnNCQURrQkE4QVZHbHRaWE1nVG1WM0lGSnZiV0Z1QVlCQ0FBQUFCQUlRQUFBQUFBQUFBQUFBQUlER0JCQjRiUVlXQ0FRQUFBQWtBQmdJQkFBQUFDUUFHUWdBQUJBSUFnQUJBQThJQWdBQkFBT0FQQUFBQUFRQ0VBQXpiT0gvWitjdi82c2ZrUURuRDE4QUJJQUJBQUFBQUFJSUFIZWlrQUJLOVY0QUNnQUNBQUlBTndRQkFBRUFBQVNBQWdBQUFBQUNDQUMwWllvQUhaMUJBQW9BQWdBREFBSUVBZ0FJQUNzRUFnQUFBRWdFQUFBM0JBRUFBUWFBQUFBQUFBQUNDQUMwQlk0QUhiVTlBQVFDRUFDMHhZWUFIYlU5QUU0ZmpnQWRkVVVBSXdnQkFBQUNCd0lBQUFBQUJ3MEFBUUFBQUFNQVlBRElBQU1BVHdBQUFBQUVnQU1BQUFBQUFnZ0FsOTF0QU4xWE9BQUtBQUlBQkFBQUFBU0FCQUFBQUFBQ0NBRFVvR2NBc2Y4YUFBb0FBZ0FGQUFBQUJJQUZBQUFBQUFJSUFMY1lTd0J4dWhFQUNnQUNBQVlBQUFBRWdBWUFBQUFBQWdnQVhjMDBBRjNOSlFBS0FBSUFCd0FBQUFTQUJ3QUFBQUFDQ0FBZ0Nqc0FpU1ZEQUFvQUFnQUlBQUFBQklBSUFBQUFBQUlJQUQyU1Z3REpha3dBQ2dBQ0FBa0FBQUFFZ0FrQUFBQUFBZ2dBUUVVWUFCMklIQUFLQUFJQUNnQUFBQVNBQ2dBQUFBQUNDQUFBQUFBQVRpb3VBQW9BQWdBTEFBQUFCSUFMQUFBQUFBSUlBTUM2NS84ZGlCd0FDZ0FDQUF3QUFnUUNBQWNBS3dRQ0FBQUFTQVFBQUFhQUFBQUFBQUFDQ0FEMFRldi9IZkFZQUFRQ0VBQ05KK1QvSGZBWUFQUk42LzlRSXlBQUl3Z0JBQUFDQndJQUFBQUFCdzBBQVFBQUFBTUFZQURJQUFNQVRnQUFBQUFFZ0F3QUFBQUFBZ2dBQUFEeC93QUFBQUFLQUFJQURRQUFBQVNBRFFBQUFBQUNDQUFCQU9MLzdRVG0vd29BQWdBT0FBQUFCSUFPQUFBQUFBSUlBQUVBOGYvYUNjei9DZ0FDQUE4QUFnUUNBQWNBS3dRQ0FBQUFTQVFBQUFhQUFBQUFBQUFDQ0FBMGsvVC8ybkhJL3dRQ0VBRE5iTzMvMm5ISS96U1Q5UDhOcGMvL0l3Z0JBQUFDQndJQUFBQUFCdzBBQVFBQUFBTUFZQURJQUFNQVRnQUFBQUFFZ0E4QUFBQUFBZ2dBQUFBUEFOb0p6UDhLQUFJQUVBQUFBQVNBRUFBQUFBQUNDQUFBQUI0QTdRVG0vd29BQWdBUkFBQUFCSUFSQUFBQUFBSUlBQUFBRHdBQUFBQUFDZ0FDQUJJQUFnUUNBQWNBS3dRQ0FBQUFTQVFBQUFhQUFBQUFBQUFDQ0FBemt4SUFBR2o4L3dRQ0VBRE1iQXNBQUdqOC96T1RFZ0F6bXdNQUl3Z0JBQUFDQndJQUFBQUFCdzBBQVFBQUFBTUFZQURJQUFNQVRnQUFBQUFFZ0JJQUFBQUFBZ2dBQUFBZUFNY09zdjhLQUFJQUV3QUFBQVNBRXdBQUFBQUNDQUFBQUR3QXh3Nnkvd29BQWdBVUFBQUFCSUFVQUFBQUFBSUlBQUFBU3dDMEU1ai9DZ0FDQUJVQUFBQUVnQlVBQUFBQUFnZ0FBQUE4QUtBWWZ2OEtBQUlBRmdBQUFBU0FGZ0FBQUFBQ0NBQUFBQjRBb0JoKy93b0FBZ0FYQUFBQUJJQVhBQUFBQUFJSUFBQUFEd0NOSFdUL0NnQUNBQmdBQWdRQ0FBZ0FLd1FDQUFBQVNBUUFBRGNFQVFBQkJvQUFBQUFBQUFJSUFBQ2dFZ0NOTldEL0JBSVFBQUJnQ3dDTk5XRC9tYmtTQUkzMVovOGpDQUVBQUFJSEFnQUFBQUFIRFFBQkFBQUFBd0JnQU1nQUF3QlBBQUFBQUFTQUdBQUFBQUFDQ0FBQUFCNEFlaUpLL3dvQUFnQVpBQUFBQklBWkFBQUFBQUlJQUFBQVBBQjZJa3IvQ2dBQ0FCb0FOd1FCQUFFQUFBU0FHZ0FBQUFBQ0NBQUFBQThBWnljdy93b0FBZ0FiQURjRUFRQUJBQUFFZ0JzQUFBQUFBZ2dBQUFBUEFMUVRtUDhLQUFJQUhBQUFBQVdBSFFBQUFBb0FBZ0FkQUFRR0JBQUJBQUFBQlFZRUFBSUFBQUFLQmdFQUFRQUFCWUFlQUFBQUNnQUNBQjRBQkFZRUFBSUFBQUFGQmdRQUF3QUFBQW9HQVFBQkFBQUZnQjhBQUFBS0FBSUFId0FFQmdRQUF3QUFBQVVHQkFBRUFBQUFBQVlDQUlBQUFBQUZnQ0FBQUFBS0FBSUFJQUFFQmdRQUJBQUFBQVVHQkFBRkFBQUFBQVlDQUlBQUFBQUZnQ0VBQUFBS0FBSUFJUUFFQmdRQUJRQUFBQVVHQkFBR0FBQUFBQVlDQUlBQUFBQUZnQ0lBQUFBS0FBSUFJZ0FFQmdRQUJnQUFBQVVHQkFBSEFBQUFBQVlDQUlBQUFBQUZnQ01BQUFBS0FBSUFJd0FFQmdRQUJ3QUFBQVVHQkFBSUFBQUFBQVlDQUlBQUFBQUZnQ1FBQUFBS0FBSUFKQUFFQmdRQUF3QUFBQVVHQkFBSUFBQUFBQVlDQUlBQUFBQUZnQ1VBQUFBS0FBSUFKUUFFQmdRQUJnQUFBQVVHQkFBSkFBQUFBQUFGZ0NZQUFBQUtBQUlBSmdBRUJnUUFDUUFBQUFVR0JBQUtBQUFBQUFZQ0FJQUFBQUFGZ0NjQUFBQUtBQUlBSndBRUJnUUFDZ0FBQUFVR0JBQUxBQUFBQUFZQ0FJQUFBQUFGZ0NnQUFBQUtBQUlBS0FBRUJnUUFDd0FBQUFVR0JBQU1BQUFBQUFZQ0FJQUFBQUFGZ0NrQUFBQUtBQUlBS1FBRUJnUUFEQUFBQUFVR0JBQU5BQUFBQUFZQ0FJQUFBQUFGZ0NvQUFBQUtBQUlBS2dBRUJnUUFEUUFBQUFVR0JBQU9BQUFBQUFZQ0FJQUFBQUFGZ0NzQUFBQUtBQUlBS3dBRUJnUUFEZ0FBQUFVR0JBQVBBQUFBQUFZQ0FJQUFBQUFGZ0N3QUFBQUtBQUlBTEFBRUJnUUFEd0FBQUFVR0JBQVFBQUFBQUFZQ0FJQUFBQUFGZ0MwQUFBQUtBQUlBTFFBRUJnUUFFQUFBQUFVR0JBQVJBQUFBQUFZQ0FJQUFBQUFGZ0M0QUFBQUtBQUlBTGdBRUJnUUFDUUFBQUFVR0JBQVJBQUFBQUFZQ0FJQUFBQUFGZ0M4QUFBQUtBQUlBTHdBRUJnUUFEQUFBQUFVR0JBQVJBQUFBQUFZQ0FJQUFBQUFGZ0RBQUFBQUtBQUlBTUFBRUJnUUFEd0FBQUFVR0JBQVNBQUFBQUFBRmdERUFBQUFLQUFJQU1RQUVCZ1FBRWdBQUFBVUdCQUFUQUFBQUFBWUNBSUFBQUFBRmdESUFBQUFLQUFJQU1nQUVCZ1FBRXdBQUFBVUdCQUFVQUFBQUFBWUNBSUFBQUFBRmdETUFBQUFLQUFJQU13QUVCZ1FBRkFBQUFBVUdCQUFWQUFBQUFBWUNBSUFBQUFBRmdEUUFBQUFLQUFJQU5BQUVCZ1FBRlFBQUFBVUdCQUFXQUFBQUFBWUNBSUFBQUFBRmdEVUFBQUFLQUFJQU5RQUVCZ1FBRmdBQUFBVUdCQUFYQUFBQUNnWUJBQUVBQUFXQU5nQUFBQW9BQWdBMkFBUUdCQUFYQUFBQUJRWUVBQmdBQUFBS0JnRUFBUUFBQllBM0FBQUFDZ0FDQURjQUJBWUVBQmdBQUFBRkJnUUFHUUFBQUFvR0FRQUJBQUFGZ0RnQUFBQUtBQUlBT0FBRUJnUUFHQUFBQUFVR0JBQWFBQUFBQ2dZQkFBRUFBQVdBT1FBQUFBb0FBZ0E1QUFRR0JBQVdBQUFBQlFZRUFCc0FBQUFBQmdJQWdBQUFBQVdBT2dBQUFBb0FBZ0E2QUFRR0JBQVNBQUFBQlFZRUFCc0FBQUFBQmdJQWdBQUFBQWVBUFFBQUFBUUNFQUI2VlZFQTQwQkVBSHBWVVFDZEVpOEFDZ0FDQURzQUFBb0NBQVFBQkFvQ0FBRUFEUUlNQUowU0x3QjZWVkVBQUFBQUFBNENEQURqUUVRQWVsVlJBQUFBQUFBUEFnd0FuUkl2QU1DRFpnQUFBQUFBQUFBSGdENEFBQUFFQWhBQUFBQUFBTkI5SkFBQUFBQUFUcVVVQUFvQUFnQThBQkFBUndBQUFGUm9aWEpsSUdseklHRWdkbUZzWlc1alpTQnZjaUJqYUdGeVoyVWdaWEp5YjNJZ2MyOXRaWGRvWlhKbElHbHVJSFJvYVhNZ1lYSnZiV0YwYVdNZ2MzbHpkR1Z0TGdBS0FnQUVBQVFLQWdBQkFBMENEQUJPcFJRQUFBQUFBQUFBQUFBT0Fnd0EwSDBrQUFBQUFBQUFBQUFBRHdJTUFFNmxGQUNCMkE4QUFBQUFBQUFBQjRBL0FBQUFCQUlRQUFBQUFBQTBNL3YvQUFBQUFPMEU1djhLQUFJQVBRQUFDZ0lBQkFBRUNnSUFBUUFOQWd3QTdRVG0vd0FBQUFBQUFBQUFEZ0lNQURReisvOEFBQUFBQUFBQUFBOENEQUR0Qk9iL1JpNFZBQUFBQUFBQUFBZUFRQUFBQUFRQ0VBQUFBQzBBK2tHdC93QUFMUUMwRTVqL0NnQUNBRDRBQUFvQ0FBUUFCQW9DQUFFQURRSU1BTFFUbVA4QUFDMEFBQUFBQUE0Q0RBRDZRYTMvQUFBdEFBQUFBQUFQQWd3QXRCT1kvMFl1UWdBQUFBQUFBQUFBQUFBQUFBQUFBQT09</t>
        </r>
      </text>
    </comment>
    <comment ref="A10" authorId="0" shapeId="0" xr:uid="{00000000-0006-0000-0700-000008000000}">
      <text>
        <r>
          <rPr>
            <b/>
            <sz val="9"/>
            <color rgb="FF000000"/>
            <rFont val="Tahoma"/>
            <family val="2"/>
          </rPr>
          <t>QzE3SDExQ2xGM05PM3xTQ0hJU1RPU09NSUFTSVNQaWN0dXJlIDEyfFZtcERSREF4TURBRUF3SUJBQUFBQUFBQUFBQUFBQUNBQUFBQUFBTUFGZ0FBQUVOb1pXMUVjbUYzSURFeUxqQXVNaTR4TURjMkJBSVFBR0krWWYrMDA1Zi9tYmtTQUVwbFp3QUJDUWdBQUFBQUFBQUFBQUFDQ1FnQUFBRGNBZ0FBS0FJTkNBRUFBUWdIQVFBQk9nUUJBQUU3QkFFQUFFVUVBUUFCUEFRQkFBQU1CZ0VBQVE4R0FRQUJEUVlCQUFCQ0JBRUFBRU1FQVFBQVJBUUJBQUFLQ0FnQUF3QmdBTWdBQXdBTENBZ0FCQUFBQVBBQUF3QUpDQVFBTTdNQ0FBZ0lCQUFBQUFJQUJ3Z0VBQUFBQVFBR0NBUUFBQUFFQUFVSUJBQUFBQjRBQkFnQ0FIZ0FBd2dFQUFBQWVBQWpDQUVBQlF3SUFRQUFLQWdCQUFFcENBRUFBU29JQVFBQkFnZ1FBQUFBSkFBQUFDUUFBQUFrQUFBQUpBQUJBd0lBQUFBQ0F3SUFBUUFBQXc0QUFnRC8vLy8vLy84QUFBQUFBQUFBQVNRQUFBQUNBQU1BNUFRRkFFRnlhV0ZzQkFEa0JBOEFWR2x0WlhNZ1RtVjNJRkp2YldGdUFZQThBQUFBQkFJUUFBQUFBQUFBQUFBQUFJREdCQkI0YlFZV0NBUUFBQUFrQUJnSUJBQUFBQ1FBR1FnQUFCQUlBZ0FCQUE4SUFnQUJBQU9BTndBQUFBUUNFQUJpUG1IL3ROT1gvNW01RWdCS1pXY0FCSUFCQUFBQUFBSUlBQUFBQUFDMEU1ai9DZ0FDQUFJQU53UUJBQUVBQUFTQUFnQUFBQUFDQ0FELy93NEF4dzZ5L3dvQUFnQURBQUlFQWdBSUFDc0VBZ0FBQUVnRUFBQTNCQUVBQVFhQUFBQUFBQUFDQ0FEL254SUF4eWF1L3dRQ0VBRC9Yd3NBeHlhdS81bTVFZ0RINXJYL0l3Z0JBQUFDQndJQUFBQUFCdzBBQVFBQUFBTUFZQURJQUFNQVR3QUFBQUFFZ0FNQUFBQUFBZ2dBQUFBQUFOb0p6UDhLQUFJQUJBQUFBQVNBQkFBQUFBQUNDQUFBQU9MLzJnbk0vd29BQWdBRkFBQUFCSUFGQUFBQUFBSUlBQUFBMC8vdEJPYi9DZ0FDQUFZQUFBQUVnQVlBQUFBQUFnZ0FBUURpL3dBQUFBQUtBQUlBQndBQUFBU0FCd0FBQUFBQ0NBQUFBQUFBQUFBQUFBb0FBZ0FJQUFBQUJJQUlBQUFBQUFJSUFBQUFEd0FUK3hrQUNnQUNBQWtBQWdRQ0FBZ0FLd1FDQUFFQVNBUUFBRGNFQVFBQkJvQUFBQUFBQUFJSUFBQ2dFZ0FURXhZQUJBSVFBQUJnQ3dBVEV4WUFtYmtTQUVZR0pRQWpDQUVBQUFJSEFnQUFBQVVIQVFBQkFBY09BQUVBQUFBREFHQUF5QUFEQUU5SUFBQUFBQVNBQ1FBQUFBQUNDQUQvL3c0QTdRVG0vd29BQWdBS0FBQUFCSUFLQUFBQUFBSUlBQUVBMC84VCt4a0FDZ0FDQUFzQUFBQUVnQXNBQUFBQUFnZ0F2VFBmL3hwak5RQUtBQUlBREFBQ0JBSUFDQUFyQkFJQUFBQklCQUFBQm9BQUFBQUFBQUlJQUwzVDR2OGFlekVBQkFJUUFMMlQyLzhhZXpFQVYrM2kveG83T1FBakNBRUFBQUlIQWdBQUFBQUhEUUFCQUFBQUF3QmdBTWdBQXdCUEFBQUFBQVNBREFBQUFBQUNDQUJqNk1qL0JuWkpBQW9BQWdBTkFBSUVBZ0FIQUNzRUFnQUFBRWdFQUFBR2dBQUFBQUFBQWdnQWxudk0vd2JlUlFBRUFoQUFNRlhGL3diZVJRQ1dlOHovT2hGTkFDTUlBUUFBQWdjQ0FBQUFBQWNOQUFFQUFBQURBR0FBeUFBREFFNEFBQUFBQklBTkFBQUFBQUlJQUZEdHJ2OEdkam9BQ2dBQ0FBNEFBQUFFZ0E0QUFBQUFBZ2dBRXlxMS85b2RIUUFLQUFJQUR3QUFBQVNBRHdBQUFBQUNDQUFuRjZIL2dOSUdBQW9BQWdBUUFBQUFCSUFRQUFBQUFBSUlBR2RjcXY5a1N1ci9DZ0FDQUJFQUFBQUVnQkVBQUFBQUFnZ0Fla21XL3duLzAvOEtBQUlBRWdBQUFBU0FFZ0FBQUFBQ0NBQk84WGovelR2YS93b0FBZ0FUQUFBQUJJQVRBQUFBQUFJSUFHTGVaUDl5OE1QL0NnQUNBQlFBQWdRQ0FCRUFLd1FDQUFBQVNBUUFBRGNFQVFBQkJvQUFBQUFBQUFJSUFHSithUDl5Q01YL0JBSVFBR0krWWY4TW9ydi8rNWRvLzNJSXhmOGpDQUVBL3dFSEFRRC9BZ2NDQUFBQUJRY0JBQU1BQnc0QUFRQUFBQU1BWUFESUFBTUFRMndBQUFBQUJJQVVBQUFBQUFJSUFBNnNiLy9xdy9iL0NnQUNBQlVBQUFBRWdCVUFBQUFBQWdnQStyNkQvME1QRFFBS0FBSUFGZ0FBQUFTQUZnQUFBQUFDQ0FCSWhaUC93NmxHQUFvQUFnQVhBQUFBQklBWEFBQUFBQUlJQUVFZGVQK0EzVklBQ2dBQ0FCZ0FBZ1FDQUFrQUt3UUNBQUFBU0FRQUFEY0VBUUFCQm9BQUFBQUFBQUlJQUhTd2UvK0FxVThBQkFJUUFBNktkUCtBcVU4QWRMQjcveHJEVlFBakNBRUFBQUlIQWdBQUFBQUhEUUFCQUFBQUF3QmdBTWdBQXdCR0FBQUFBQVNBR0FBQUFBQUNDQUFJUUh2L2tnYzFBQW9BQWdBWkFBSUVBZ0FKQUNzRUFnQUFBRWdFQUFBM0JBRUFBUWFBQUFBQUFBQUNDQUE3MDM3L2t0TXhBQVFDRUFEVnJIZi9rdE14QUR2VGZ2OHM3VGNBSXdnQkFBQUNCd0lBQUFBQUJ3MEFBUUFBQUFNQVlBRElBQU1BUmdBQUFBQUVnQmtBQUFBQUFnZ0FnV0tRLzdGL1pBQUtBQUlBR2dBQ0JBSUFDUUFyQkFJQUFBQklCQUFBTndRQkFBRUdnQUFBQUFBQUFnZ0F0UFdULzdGTFlRQUVBaEFBVHMrTS83RkxZUUMwOVpQL1NtVm5BQ01JQVFBQUFnY0NBQUFBQUFjTkFBRUFBQUFEQUdBQXlBQURBRVlBQUFBQUJZQWJBQUFBQ2dBQ0FCc0FCQVlFQUFFQUFBQUZCZ1FBQWdBQUFBb0dBUUFCQUFBRmdCd0FBQUFLQUFJQUhBQUVCZ1FBQWdBQUFBVUdCQUFEQUFBQUNnWUJBQUVBQUFXQUhRQUFBQW9BQWdBZEFBUUdCQUFEQUFBQUJRWUVBQVFBQUFBQUJnSUFnQUFBQUFXQUhnQUFBQW9BQWdBZUFBUUdCQUFFQUFBQUJRWUVBQVVBQUFBQUJnSUFnQUFBQUFXQUh3QUFBQW9BQWdBZkFBUUdCQUFGQUFBQUJRWUVBQVlBQUFBQUJnSUFnQUFBQUFXQUlBQUFBQW9BQWdBZ0FBUUdCQUFHQUFBQUJRWUVBQWNBQUFBQUJnSUFnQUFBQUFXQUlRQUFBQW9BQWdBaEFBUUdCQUFIQUFBQUJRWUVBQWdBQUFBS0JnRUFBUUFBQllBaUFBQUFDZ0FDQUNJQUJBWUVBQWNBQUFBRkJnUUFDUUFBQUFBR0FnQ0FBQUFBQllBakFBQUFDZ0FDQUNNQUJBWUVBQU1BQUFBRkJnUUFDUUFBQUFBR0FnQ0FBQUFBQllBa0FBQUFDZ0FDQUNRQUJBWUVBQVlBQUFBRkJnUUFDZ0FBQUFBQUJZQWxBQUFBQ2dBQ0FDVUFCQVlFQUFvQUFBQUZCZ1FBQ3dBQUFBQUdBZ0NBQUFBQUJZQW1BQUFBQ2dBQ0FDWUFCQVlFQUFzQUFBQUZCZ1FBREFBQUFBQUdBZ0NBQUFBQUJZQW5BQUFBQ2dBQ0FDY0FCQVlFQUF3QUFBQUZCZ1FBRFFBQUFBQUdBZ0NBQUFBQUJZQW9BQUFBQ2dBQ0FDZ0FCQVlFQUEwQUFBQUZCZ1FBRGdBQUFBQUdBZ0NBQUFBQUJZQXBBQUFBQ2dBQ0FDa0FCQVlFQUFvQUFBQUZCZ1FBRGdBQUFBQUdBZ0NBQUFBQUJZQXFBQUFBQ2dBQ0FDb0FCQVlFQUE0QUFBQUZCZ1FBRHdBQUFBQUFCWUFyQUFBQUNnQUNBQ3NBQkFZRUFBOEFBQUFGQmdRQUVBQUFBQUFHQWdDQUFBQUFCWUFzQUFBQUNnQUNBQ3dBQkFZRUFCQUFBQUFGQmdRQUVRQUFBQUFHQWdDQUFBQUFCWUF0QUFBQUNnQUNBQzBBQkFZRUFCRUFBQUFGQmdRQUVnQUFBQUFHQWdDQUFBQUFCWUF1QUFBQUNnQUNBQzRBQkFZRUFCSUFBQUFGQmdRQUV3QUFBQW9HQVFBQkFBQUZnQzhBQUFBS0FBSUFMd0FFQmdRQUVnQUFBQVVHQkFBVUFBQUFBQVlDQUlBQUFBQUZnREFBQUFBS0FBSUFNQUFFQmdRQUZBQUFBQVVHQkFBVkFBQUFBQVlDQUlBQUFBQUZnREVBQUFBS0FBSUFNUUFFQmdRQUR3QUFBQVVHQkFBVkFBQUFBQVlDQUlBQUFBQUZnRElBQUFBS0FBSUFNZ0FFQmdRQURRQUFBQVVHQkFBV0FBQUFDZ1lCQUFFQUFBV0FNd0FBQUFvQUFnQXpBQVFHQkFBV0FBQUFCUVlFQUJjQUFBQUtCZ0VBQVFBQUJZQTBBQUFBQ2dBQ0FEUUFCQVlFQUJZQUFBQUZCZ1FBR0FBQUFBb0dBUUFCQUFBRmdEVUFBQUFLQUFJQU5RQUVCZ1FBRmdBQUFBVUdCQUFaQUFBQUNnWUJBQUVBQUFlQU9BQUFBQVFDRUFBQUFQSC9ORFA3L3dBQThmL3RCT2IvQ2dBQ0FEWUFBQW9DQUFRQUJBb0NBQUVBRFFJTUFPMEU1djhBQVBIL0FBQUFBQTRDREFBME0vdi9BQUR4L3dBQUFBQVBBZ3dBN1FUbS8wWXVCZ0FBQUFBQUFBQUhnRGtBQUFBRUFoQUFnVDNHLzFMdFB3Q0JQY2IvMFJRd0FBb0FBZ0EzQUFBS0FnQUVBQVFLQWdBQkFBMENEQURSRkRBQWdUM0cvd0FBQUFBT0Fnd0FVdTAvQUlFOXh2OEFBQUFBRHdJTUFORVVNQUFDRnRiL0FBQUFBQUFBQjRBNkFBQUFCQUlRQURvRWpmOXN0UVVBT2dTTi95ZUg4UDhLQUFJQU9BQUFDZ0lBQkFBRUNnSUFBUUFOQWd3QUo0Zncvem9FamY4QUFBQUFEZ0lNQUd5MUJRQTZCSTMvQUFBQUFBOENEQUFuaC9EL2dUS2kvd0FBQUFBQUFBQUFBQUFBQUFBQQ==</t>
        </r>
      </text>
    </comment>
    <comment ref="A11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QzIzSDIzTjNPMnxTQ0hJU1RPU09NSUFTSVNQaWN0dXJlIDR8Vm1wRFJEQXhNREFFQXdJQkFBQUFBQUFBQUFBQUFBQ0FBQUFBQUFNQUZnQUFBRU5vWlcxRWNtRjNJREV5TGpBdU1pNHhNRGMyQkFJUUFETnM0Zjk2NGtuL3F4K1JBQTFVZndBQkNRZ0FBQUFBQUFBQUFBQUNDUWdBQUFEY0FnQUFLQUlOQ0FFQUFRZ0hBUUFCT2dRQkFBRTdCQUVBQUVVRUFRQUJQQVFCQUFBTUJnRUFBUThHQVFBQkRRWUJBQUJDQkFFQUFFTUVBUUFBUkFRQkFBQUtDQWdBQXdCZ0FNZ0FBd0FMQ0FnQUJBQUFBUEFBQXdBSkNBUUFNN01DQUFnSUJBQUFBQUlBQndnRUFBQUFBUUFHQ0FRQUFBQUVBQVVJQkFBQUFCNEFCQWdDQUhnQUF3Z0VBQUFBZUFBakNBRUFCUXdJQVFBQUtBZ0JBQUVwQ0FFQUFTb0lBUUFCQWdnUUFBQUFKQUFBQUNRQUFBQWtBQUFBSkFBQkF3SUFBQUFDQXdJQUFRQUFBdzRBQWdELy8vLy8vLzhBQUFBQUFBQUFBU1FBQUFBQ0FBTUE1QVFGQUVGeWFXRnNCQURrQkE4QVZHbHRaWE1nVG1WM0lGSnZiV0Z1QVlCRUFBQUFCQUlRQUFBQUFBQUFBQUFBQUlER0JCQjRiUVlXQ0FRQUFBQWtBQmdJQkFBQUFDUUFHUWdBQUJBSUFnQUJBQThJQWdBQkFBT0FQZ0FBQUFRQ0VBQXpiT0gvZXVKSi82c2ZrUUFOVkg4QUJJQUJBQUFBQUFJSUFIZWlrQUJLOVY0QUNnQUNBQUlBTndRQkFBRUFBQVNBQWdBQUFBQUNDQUMwWllvQUhaMUJBQW9BQWdBREFBSUVBZ0FJQUNzRUFnQUFBRWdFQUFBM0JBRUFBUWFBQUFBQUFBQUNDQUMwQlk0QUhiVTlBQVFDRUFDMHhZWUFIYlU5QUU0ZmpnQWRkVVVBSXdnQkFBQUNCd0lBQUFBQUJ3MEFBUUFBQUFNQVlBRElBQU1BVHdBQUFBQUVnQU1BQUFBQUFnZ0FsOTF0QU4xWE9BQUtBQUlBQkFBQUFBU0FCQUFBQUFBQ0NBRFVvR2NBc2Y4YUFBb0FBZ0FGQUFBQUJJQUZBQUFBQUFJSUFMY1lTd0J4dWhFQUNnQUNBQVlBQUFBRWdBWUFBQUFBQWdnQVhjMDBBRjNOSlFBS0FBSUFCd0FBQUFTQUJ3QUFBQUFDQ0FBZ0Nqc0FpU1ZEQUFvQUFnQUlBQUFBQklBSUFBQUFBQUlJQUQyU1Z3REpha3dBQ2dBQ0FBa0FBQUFFZ0FrQUFBQUFBZ2dBQU05ZEFQYkNhUUFLQUFJQUNnQUNCQUlBQ0FBckJBSUFBQUJJQkFBQU53UUJBQUVHZ0FBQUFBQUFBZ2dBQUc5aEFQYmFaUUFFQWhBQUFDOWFBUGJhWlFDYWlHRUE5cHB0QUNNSUFRQUFBZ2NDQUFBQUFBY05BQUVBQUFBREFHQUF5QUFEQUU4QUFBQUFCSUFLQUFBQUFBSUlBR3lZU0FDSytYNEFDZ0FDQUFzQU53UUJBQUVBQUFTQUN3QUFBQUFDQ0FCQVJSZ0FIWWdjQUFvQUFnQU1BQUFBQklBTUFBQUFBQUlJQUFBQUFBQk9LaTRBQ2dBQ0FBMEFBZ1FDQUFjQUt3UUNBQUFBU0FRQUFBYUFBQUFBQUFBQ0NBQXprd01BVHBJcUFBUUNFQUROYlB6L1RwSXFBRE9UQXdDQnhURUFJd2dCQUFBQ0J3SUFBQUFBQncwQUFRQUFBQU1BWUFESUFBTUFUZ0FBQUFBRWdBMEFBQUFBQWdnQXdMcm4veDJJSEFBS0FBSUFEZ0FDQkFJQUJ3QXJCQUlBQUFCSUJBQUFCb0FBQUFBQUFBSUlBUFJONi84ZDhCZ0FCQUlRQUkwbjVQOGQ4QmdBOUUzci8xQWpJQUFqQ0FFQUFBSUhBZ0FBQUFBSERRQUJBQUFBQXdCZ0FNZ0FBd0JPQUFBQUFBU0FEZ0FBQUFBQ0NBQUFBUEgvQUFBQUFBb0FBZ0FQQUFBQUJJQVBBQUFBQUFJSUFBRUE0di90Qk9iL0NnQUNBQkFBQUFBRWdCQUFBQUFBQWdnQUFRRHgvOW9KelA4S0FBSUFFUUFBQUFTQUVRQUFBQUFDQ0FBQUFBOEEyZ25NL3dvQUFnQVNBQUFBQklBU0FBQUFBQUlJQUFBQUhnRHRCT2IvQ2dBQ0FCTUFBQUFFZ0JNQUFBQUFBZ2dBQUFBUEFBQUFBQUFLQUFJQUZBQUNCQUlBQndBckJBSUFBQUJJQkFBQUJvQUFBQUFBQUFJSUFET1RFZ0FCYVB6L0JBSVFBTXhzQ3dBQmFQei9NNU1TQURPYkF3QWpDQUVBQUFJSEFnQUFBQUFIRFFBQkFBQUFBd0JnQU1nQUF3Qk9BQUFBQUFTQUZBQUFBQUFDQ0FBQUFCNEF4dzZ5L3dvQUFnQVZBQUFBQklBVkFBQUFBQUlJQUFBQVBBREhEckwvQ2dBQ0FCWUFBQUFFZ0JZQUFBQUFBZ2dBQUFCTEFMUVRtUDhLQUFJQUZ3QUFBQVNBRndBQUFBQUNDQUFBQUR3QW9CaCsvd29BQWdBWUFBQUFCSUFZQUFBQUFBSUlBQUFBSGdDZ0dINy9DZ0FDQUJrQUFBQUVnQmtBQUFBQUFnZ0FBQUFQQUxRVG1QOEtBQUlBR2dBQUFBU0FHZ0FBQUFBQ0NBQUFBQThBalIxay93b0FBZ0FiQUFBQUJJQWJBQUFBQUFJSUFBRUE4ZitOSFdUL0NnQUNBQndBTndRQkFBRUFBQVNBSEFBQUFBQUNDQUFBQUI0QWVpSksvd29BQWdBZEFEY0VBUUFCQUFBRmdCNEFBQUFLQUFJQUhnQUVCZ1FBQVFBQUFBVUdCQUFDQUFBQUNnWUJBQUVBQUFXQUh3QUFBQW9BQWdBZkFBUUdCQUFDQUFBQUJRWUVBQU1BQUFBS0JnRUFBUUFBQllBZ0FBQUFDZ0FDQUNBQUJBWUVBQU1BQUFBRkJnUUFCQUFBQUFBR0FnQ0FBQUFBQllBaEFBQUFDZ0FDQUNFQUJBWUVBQVFBQUFBRkJnUUFCUUFBQUFBR0FnQ0FBQUFBQllBaUFBQUFDZ0FDQUNJQUJBWUVBQVVBQUFBRkJnUUFCZ0FBQUFBR0FnQ0FBQUFBQllBakFBQUFDZ0FDQUNNQUJBWUVBQVlBQUFBRkJnUUFCd0FBQUFBR0FnQ0FBQUFBQllBa0FBQUFDZ0FDQUNRQUJBWUVBQWNBQUFBRkJnUUFDQUFBQUFBR0FnQ0FBQUFBQllBbEFBQUFDZ0FDQUNVQUJBWUVBQU1BQUFBRkJnUUFDQUFBQUFBR0FnQ0FBQUFBQllBbUFBQUFDZ0FDQUNZQUJBWUVBQWdBQUFBRkJnUUFDUUFBQUFvR0FRQUJBQUFGZ0NjQUFBQUtBQUlBSndBRUJnUUFDUUFBQUFVR0JBQUtBQUFBQ2dZQkFBRUFBQVdBS0FBQUFBb0FBZ0FvQUFRR0JBQUdBQUFBQlFZRUFBc0FBQUFBQUFXQUtRQUFBQW9BQWdBcEFBUUdCQUFMQUFBQUJRWUVBQXdBQUFBQUJnSUFnQUFBQUFXQUtnQUFBQW9BQWdBcUFBUUdCQUFNQUFBQUJRWUVBQTBBQUFBQUJnSUFnQUFBQUFXQUt3QUFBQW9BQWdBckFBUUdCQUFOQUFBQUJRWUVBQTRBQUFBQUJnSUFnQUFBQUFXQUxBQUFBQW9BQWdBc0FBUUdCQUFPQUFBQUJRWUVBQThBQUFBQUJnSUFnQUFBQUFXQUxRQUFBQW9BQWdBdEFBUUdCQUFQQUFBQUJRWUVBQkFBQUFBQUJnSUFnQUFBQUFXQUxnQUFBQW9BQWdBdUFBUUdCQUFRQUFBQUJRWUVBQkVBQUFBQUJnSUFnQUFBQUFXQUx3QUFBQW9BQWdBdkFBUUdCQUFSQUFBQUJRWUVBQklBQUFBQUJnSUFnQUFBQUFXQU1BQUFBQW9BQWdBd0FBUUdCQUFTQUFBQUJRWUVBQk1BQUFBQUJnSUFnQUFBQUFXQU1RQUFBQW9BQWdBeEFBUUdCQUFMQUFBQUJRWUVBQk1BQUFBQUJnSUFnQUFBQUFXQU1nQUFBQW9BQWdBeUFBUUdCQUFPQUFBQUJRWUVBQk1BQUFBQUJnSUFnQUFBQUFXQU13QUFBQW9BQWdBekFBUUdCQUFSQUFBQUJRWUVBQlFBQUFBQUFBV0FOQUFBQUFvQUFnQTBBQVFHQkFBVUFBQUFCUVlFQUJVQUFBQUFCZ0lBZ0FBQUFBV0FOUUFBQUFvQUFnQTFBQVFHQkFBVkFBQUFCUVlFQUJZQUFBQUFCZ0lBZ0FBQUFBV0FOZ0FBQUFvQUFnQTJBQVFHQkFBV0FBQUFCUVlFQUJjQUFBQUFCZ0lBZ0FBQUFBV0FOd0FBQUFvQUFnQTNBQVFHQkFBWEFBQUFCUVlFQUJnQUFBQUFCZ0lBZ0FBQUFBV0FPQUFBQUFvQUFnQTRBQVFHQkFBWUFBQUFCUVlFQUJrQUFBQUFCZ0lBZ0FBQUFBV0FPUUFBQUFvQUFnQTVBQVFHQkFBVUFBQUFCUVlFQUJrQUFBQUFCZ0lBZ0FBQUFBV0FPZ0FBQUFvQUFnQTZBQVFHQkFBWUFBQUFCUVlFQUJvQUFBQUtCZ0VBQVFBQUJZQTdBQUFBQ2dBQ0FEc0FCQVlFQUJvQUFBQUZCZ1FBR3dBQUFBb0dBUUFCQUFBRmdEd0FBQUFLQUFJQVBBQUVCZ1FBR2dBQUFBVUdCQUFjQUFBQUNnWUJBQUVBQUFlQVB3QUFBQVFDRUFCNlZWRUE0MEJFQUhwVlVRQ2RFaThBQ2dBQ0FEMEFBQW9DQUFRQUJBb0NBQUVBRFFJTUFKMFNMd0I2VlZFQUFBQUFBQTRDREFEalFFUUFlbFZSQUFBQUFBQVBBZ3dBblJJdkFNQ0RaZ0FBQUFBQUFBQUhnRUFBQUFBRUFoQUFBQUFBQU5COUpBQUFBQUFBVHFVVUFBb0FBZ0ErQUJBQVJ3QUFBRlJvWlhKbElHbHpJR0VnZG1Gc1pXNWpaU0J2Y2lCamFHRnlaMlVnWlhKeWIzSWdjMjl0Wlhkb1pYSmxJR2x1SUhSb2FYTWdZWEp2YldGMGFXTWdjM2x6ZEdWdExnQUtBZ0FFQUFRS0FnQUJBQTBDREFCT3BSUUFBQUFBQUFBQUFBQU9BZ3dBMEgwa0FBQUFBQUFBQUFBQUR3SU1BRTZsRkFDQjJBOEFBQUFBQUFBQUI0QkJBQUFBQkFJUUFBQUFBQUEwTS92L0FBQUFBTzBFNXY4S0FBSUFQd0FBQ2dJQUJBQUVDZ0lBQVFBTkFnd0E3UVRtL3dBQUFBQUFBQUFBRGdJTUFEUXorLzhBQUFBQUFBQUFBQThDREFEdEJPYi9SaTRWQUFBQUFBQUFBQWVBUWdBQUFBUUNFQUFBQUMwQStrR3Qvd0FBTFFDMEU1ai9DZ0FDQUVBQUFBb0NBQVFBQkFvQ0FBRUFEUUlNQUxRVG1QOEFBQzBBQUFBQUFBNENEQUQ2UWEzL0FBQXRBQUFBQUFBUEFnd0F0Qk9ZLzBZdVFnQUFBQUFBQUFBQUFBQUFBQUFBQUE9PQ==</t>
        </r>
      </text>
    </comment>
    <comment ref="A12" authorId="0" shapeId="0" xr:uid="{00000000-0006-0000-0700-00000A000000}">
      <text>
        <r>
          <rPr>
            <b/>
            <sz val="9"/>
            <color rgb="FF000000"/>
            <rFont val="Tahoma"/>
            <family val="2"/>
          </rPr>
          <t>QzE4SDE5TjNPU3xTQ0hJU1RPU09NSUFTSVNQaWN0dXJlIDd8Vm1wRFJEQXhNREFFQXdJQkFBQUFBQUFBQUFBQUFBQ0FBQUFBQUFNQUZnQUFBRU5vWlcxRWNtRjNJREV5TGpBdU1pNHhNRGMyQkFJUUFBQmdzZi9haWN2L1ZLOURBSjI1dWdBQkNRZ0FBQUFBQUFBQUFBQUNDUWdBQUFEY0FnQUFLQUlOQ0FFQUFRZ0hBUUFCT2dRQkFBRTdCQUVBQUVVRUFRQUJQQVFCQUFBTUJnRUFBUThHQVFBQkRRWUJBQUJDQkFFQUFFTUVBUUFBUkFRQkFBQUtDQWdBQXdCZ0FNZ0FBd0FMQ0FnQUJBQUFBUEFBQXdBSkNBUUFNN01DQUFnSUJBQUFBQUlBQndnRUFBQUFBUUFHQ0FRQUFBQUVBQVVJQkFBQUFCNEFCQWdDQUhnQUF3Z0VBQUFBZUFBakNBRUFCUXdJQVFBQUtBZ0JBQUVwQ0FFQUFTb0lBUUFCQWdnUUFBQUFKQUFBQUNRQUFBQWtBQUFBSkFBQkF3SUFBQUFDQXdJQUFRQUFBdzRBQWdELy8vLy8vLzhBQUFBQUFBQUFBU1FBQUFBQ0FBTUE1QVFGQUVGeWFXRnNCQURrQkE4QVZHbHRaWE1nVG1WM0lGSnZiV0Z1QVlBM0FBQUFCQUlRQUFBQUFBQUFBQUFBQUlER0JCQjRiUVlXQ0FRQUFBQWtBQmdJQkFBQUFDUUFHUWdBQUJBSUFnQUJBQThJQWdBQkFBT0FNd0FBQUFRQ0VBQUFZTEgvMm9uTC8xU3ZRd0NkdWJvQUJJQUJBQUFBQUFJSUFBQUFEd0FUK3hrQUNnQUNBQUlBTndRQkFBRUFBQVNBQWdBQUFBQUNDQUFBQUFBQUFBQUFBQW9BQWdBREFBQUFCSUFEQUFBQUFBSUlBUC8vRGdEdEJPYi9DZ0FDQUFRQUFBQUVnQVFBQUFBQUFnZ0FBQUFBQU5vSnpQOEtBQUlBQlFBQUFBU0FCUUFBQUFBQ0NBQUFBT0wvMmduTS93b0FBZ0FHQUFBQUJJQUdBQUFBQUFJSUFBQUEwLy90Qk9iL0NnQUNBQWNBQUFBRWdBY0FBQUFBQWdnQUFBRGkvd0FBQUFBS0FBSUFDQUFBQUFTQUNBQUFBQUFDQ0FBQUFOUC9FL3NaQUFvQUFnQUpBQUFBQklBSkFBQUFBQUlJQUFBQXRmOFQreGtBQ2dBQ0FBb0FBZ1FDQUFnQUt3UUNBQUFBU0FRQUFEY0VBUUFCQm9BQUFBQUFBQUlJQUFDZ3VQOFRFeFlBQkFJUUFBQmdzZjhURXhZQW1ybTQveFBUSFFBakNBRUFBQUlIQWdBQUFBQUhEUUFCQUFBQUF3QmdBTWdBQXdCUEFBQUFBQVNBQ2dBQUFBQUNDQUFCQU9ML0p2WXpBQW9BQWdBTEFBSUVBZ0FIQUNzRUFnQUFBRWdFQUFBR2dBQUFBQUFBQWdnQU5KUGwveVplTUFBRUFoQUF6V3plL3laZU1BQTBrK1gvV1pFM0FDTUlBUUFBQWdjQ0FBQUFBQWNOQUFFQUFBQURBR0FBeUFBREFFNEFBQUFBQklBTEFBQUFBQUlJQU83Vi8vL3RHRGNBQ2dBQ0FBd0FBZ1FDQUFjQUt3UUNBQUFBU0FRQUFEY0VBUUFCQm9BQUFBQUFBQUlJQUNCcEF3RHRnRE1BQkFJUUFMdEMvUC90Z0RNQUlHa0RBQ0MwT2dBakNBRUFBQUlIQWdBQUFBQUhEUUFCQUFBQUF3QmdBTWdBQXdCT0FBQUFBQVNBREFBQUFBQUNDQUN3RWdZQUduRlVBQW9BQWdBTkFBQUFCSUFOQUFBQUFBSUlBTGg2SVFEV3BHQUFDZ0FDQUE0QUFnUUNBQWNBS3dRQ0FBRUFTQVFBQURjRUFRQUJCb0FBQUFBQUFBSUlBT3NOSlFEV1BHUUFCQUlRQUlUbkhRQncxbFVBNncwbEFOWThaQUFqQ0FFQS93RUhBUUQvQWdjQ0FBQUFCUWNCQUFNQUJ3NEFBUUFBQUFNQVlBRElBQU1BVGtnQUFBQUFCSUFPQUFBQUFBSUlBSCtkSkFERWVuNEFDZ0FDQUE4QUFBQUVnQThBQUFBQUFnZ0FQMWdNQVBVY2tBQUtBQUlBRUFBQUFBU0FFQUFBQUFBQ0NBQUdldzhBNC9LdEFBb0FBZ0FSQUFBQUJJQVJBQUFBQUFJSUFBN2pLZ0NmSnJvQUNnQUNBQklBQUFBRWdCSUFBQUFBQWdnQVRpaERBRzZFcUFBS0FBSUFFd0FBQUFTQUV3QUFBQUFDQ0FDR0JVQUFnYTZLQUFvQUFnQVVBQUFBQklBVUFBQUFBQUlJQUo0WDdQOGFjV01BQ2dBQ0FCVUFBZ1FDQUJBQUt3UUNBQUFBU0FRQUFEY0VBUUFCQm9BQUFBQUFBQUlJQUo2MzcvOGFGV0FBQkFJUUFKNTM2UDhhRldBQU45SHYvNEM3WmdBakNBRUFBQUlIQWdBQUFBQUhEUUFCQUFBQUF3QmdBTWdBQXdCVEFBQUFBQVNBRlFBQUFBQUNDQUJFek5YL0xWNVBBQW9BQWdBV0FBQUFCSUFXQUFBQUFBSUlBT3FBdi84YWNXTUFDZ0FDQUJjQU53UUJBQUVBQUFTQUZ3QUFBQUFDQ0FBblJMbi83UmhHQUFvQUFnQVlBRGNFQVFBQkFBQUZnQmtBQUFBS0FBSUFHUUFFQmdRQUFRQUFBQVVHQkFBQ0FBQUFDZ1lCQUFFQUFBV0FHZ0FBQUFvQUFnQWFBQVFHQkFBQ0FBQUFCUVlFQUFNQUFBQUFCZ0lBZ0FBQUFBV0FHd0FBQUFvQUFnQWJBQVFHQkFBREFBQUFCUVlFQUFRQUFBQUFCZ0lBZ0FBQUFBV0FIQUFBQUFvQUFnQWNBQVFHQkFBRUFBQUFCUVlFQUFVQUFBQUFCZ0lBZ0FBQUFBV0FIUUFBQUFvQUFnQWRBQVFHQkFBRkFBQUFCUVlFQUFZQUFBQUFCZ0lBZ0FBQUFBV0FIZ0FBQUFvQUFnQWVBQVFHQkFBR0FBQUFCUVlFQUFjQUFBQUFCZ0lBZ0FBQUFBV0FId0FBQUFvQUFnQWZBQVFHQkFBQ0FBQUFCUVlFQUFjQUFBQUFCZ0lBZ0FBQUFBV0FJQUFBQUFvQUFnQWdBQVFHQkFBSEFBQUFCUVlFQUFnQUFBQUtCZ0VBQVFBQUJZQWhBQUFBQ2dBQ0FDRUFCQVlFQUFnQUFBQUZCZ1FBQ1FBQUFBQUdBZ0FDQUFBQUJZQWlBQUFBQ2dBQ0FDSUFCQVlFQUFnQUFBQUZCZ1FBQ2dBQUFBb0dBUUFCQUFBRmdDTUFBQUFLQUFJQUl3QUVCZ1FBQ2dBQUFBVUdCQUFMQUFBQUNnWUJBQUVBQUFXQUpBQUFBQW9BQWdBa0FBUUdCQUFMQUFBQUJRWUVBQXdBQUFBQUJnSUFBZ0FEQmdJQUFRQUxCaEFBSXdBQUFBQUFBQUFsQUFBQUxRQUFBQUFBQllBbEFBQUFDZ0FDQUNVQUJBWUVBQXdBQUFBRkJnUUFEUUFBQUFvR0FRQUJBQUFGZ0NZQUFBQUtBQUlBSmdBRUJnUUFEUUFBQUFVR0JBQU9BQUFBQ2dZQkFBRUFBQVdBSndBQUFBb0FBZ0FuQUFRR0JBQU9BQUFBQlFZRUFBOEFBQUFBQmdJQWdBQUFBQVdBS0FBQUFBb0FBZ0FvQUFRR0JBQVBBQUFBQlFZRUFCQUFBQUFBQmdJQWdBQUFBQVdBS1FBQUFBb0FBZ0FwQUFRR0JBQVFBQUFBQlFZRUFCRUFBQUFBQmdJQWdBQUFBQVdBS2dBQUFBb0FBZ0FxQUFRR0JBQVJBQUFBQlFZRUFCSUFBQUFBQmdJQWdBQUFBQVdBS3dBQUFBb0FBZ0FyQUFRR0JBQVNBQUFBQlFZRUFCTUFBQUFBQmdJQWdBQUFBQVdBTEFBQUFBb0FBZ0FzQUFRR0JBQU9BQUFBQlFZRUFCTUFBQUFBQmdJQWdBQUFBQVdBTFFBQUFBb0FBZ0F0QUFRR0JBQU1BQUFBQlFZRUFCUUFBQUFLQmdFQUFRQUFCWUF1QUFBQUNnQUNBQzRBQkFZRUFCUUFBQUFGQmdRQUZRQUFBQW9HQVFBQkFBQUZnQzhBQUFBS0FBSUFMd0FFQmdRQUNnQUFBQVVHQkFBVkFBQUFDZ1lCQUFFQUFBV0FNQUFBQUFvQUFnQXdBQVFHQkFBVkFBQUFCUVlFQUJZQUFBQUtCZ0VBQVFBQUJZQXhBQUFBQ2dBQ0FERUFCQVlFQUJVQUFBQUZCZ1FBRndBQUFBb0dBUUFCQUFBSGdEUUFBQUFFQWhBQUFBRHgvelF6Ky84QUFQSC83UVRtL3dvQUFnQXlBQUFLQWdBRUFBUUtBZ0FCQUEwQ0RBRHRCT2IvQUFEeC93QUFBQUFPQWd3QU5EUDcvd0FBOGY4QUFBQUFEd0lNQU8wRTV2OUdMZ1lBQUFBQUFBQUFCNEExQUFBQUJBSVFBRWJBSndENGZyRUFSc0FuQUxKUW5BQUtBQUlBTXdBQUNnSUFCQUFFQ2dJQUFRQU5BZ3dBc2xDY0FFYkFKd0FBQUFBQURnSU1BUGgrc1FCR3dDY0FBQUFBQUE4Q0RBQ3lVSndBamU0OEFBQUFBQUFBQUFBQUFBQUFBQUFB</t>
        </r>
      </text>
    </comment>
    <comment ref="A13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QzE4SDE5TjNPMlMyfFNDSElTVE9TT01JQVNJU1BpY3R1cmUgMnxWbXBEUkRBeE1EQUVBd0lCQUFBQUFBQUFBQUFBQUFDQUFBQUFBQU1BRmdBQUFFTm9aVzFFY21GM0lERXlMakF1TWk0eE1EYzJCQUlRQU5NVFZmK2dnSHIvbWJraEFHQW5nZ0FCQ1FnQUFBQUFBQUFBQUFBQ0NRZ0FBQURjQWdBQUtBSU5DQUVBQVFnSEFRQUJPZ1FCQUFFN0JBRUFBRVVFQVFBQlBBUUJBQUFNQmdFQUFROEdBUUFCRFFZQkFBQkNCQUVBQUVNRUFRQUFSQVFCQUFBS0NBZ0FBd0JnQU1nQUF3QUxDQWdBQkFBQUFQQUFBd0FKQ0FRQU03TUNBQWdJQkFBQUFBSUFCd2dFQUFBQUFRQUdDQVFBQUFBRUFBVUlCQUFBQUI0QUJBZ0NBSGdBQXdnRUFBQUFlQUFqQ0FFQUJRd0lBUUFBS0FnQkFBRXBDQUVBQVNvSUFRQUJBZ2dRQUFBQUpBQUFBQ1FBQUFBa0FBQUFKQUFCQXdJQUFBQUNBd0lBQVFBQUF3NEFBZ0QvLy8vLy8vOEFBQUFBQUFBQUFTUUFBQUFDQUFNQTVBUUZBRUZ5YVdGc0JBRGtCQThBVkdsdFpYTWdUbVYzSUZKdmJXRnVBWUE4QUFBQUJBSVFBQUFBQUFBQUFBQUFBSURHQkNyelJnWVdDQVFBQUFBa0FCZ0lCQUFBQUNRQUdRZ0FBQkFJQWdBQkFBOElBZ0FCQUFPQU53QUFBQVFDRUFEVEUxWC9vSUI2LzVtNUlRQmdKNElBQklBQkFBQUFBQUlJQUFFQThmOWc1NEVBQ2dBQ0FBSUFOd1FCQUFFQUFBU0FBZ0FBQUFBQ0NBQUFBQUFBVE94bkFBb0FBZ0FEQUFJRUFnQUlBQ3NFQWdBQUFFZ0VBQUEzQkFFQUFRYUFBQUFBQUFBQ0NBQUFvQU1BVEFSa0FBUUNFQUFBWVB6L1RBUmtBSm01QXdCTXhHc0FJd2dCQUFBQ0J3SUFBQUFBQncwQUFRQUFBQU1BWUFESUFBTUFUd0FBQUFBRWdBTUFBQUFBQWdnQUFRRHgvem54VFFBS0FBSUFCQUEzQkFFQUFRQUFCSUFFQUFBQUFBSUlBQUFBQUFBbTlqTUFDZ0FDQUFVQUFBQUVnQVVBQUFBQUFnZ0FBQUFlQUNiMk13QUtBQUlBQmdBM0JBRUFBUUFBQklBR0FBQUFBQUlJQUFBQThmOFQreGtBQ2dBQ0FBY0FBZ1FDQUFjQUt3UUNBQUVBU0FRQUFEY0VBUUFCQm9BQUFBQUFBQUlJQUx3NzdQOFRZeFlBQkFJUUFGWVY1ZjhUWXhZQU5KUDAvMGFXSFFBakNBRUFBQUlIQWdBQUFBVUhBUUFFQkFjR0FBSUFBZ0FEQUFBSERnQUJBQUFBQXdCZ0FNZ0FBd0JPU0FBQUFBQUVnQWNBQUFBQUFnZ0FBQUFBQUFBQUFBQUtBQUlBQ0FBQUFBU0FDQUFBQUFBQ0NBQUFBQjRBQUFBQUFBb0FBZ0FKQUFJRUFnQUlBQ3NFQWdBQUFFZ0VBQUEzQkFFQUFRYUFBQUFBQUFBQ0NBRC9ueUVBQVJqOC93UUNFQUQvWHhvQUFSajgvNW01SVFBQTJBTUFJd2dCQUFBQ0J3SUFBQUFBQncwQUFRQUFBQU1BWUFESUFBTUFUd0FBQUFBRWdBa0FBQUFBQWdnQUFRRHgvKzBFNXY4S0FBSUFDZ0EzQkFFQUFRQUFCSUFLQUFBQUFBSUlBQUFBQUFEYUNjei9DZ0FDQUFzQUFnUUNBQkFBS3dRQ0FBQUFTQVFBQURjRUFRQUJCb0FBQUFBQUFBSUlBQUNnQXdEYXJjai9CQUlRQUFCZy9QL2FyY2ovbWJrREFFQlV6LzhqQ0FFQUFBSUhBZ0FBQUFBSERRQUJBQUFBQXdCZ0FNZ0FBd0JUQUFBQUFBU0FDd0FBQUFBQ0NBQUJBUEgveHc2eS93b0FBZ0FNQUFBQUJJQU1BQUFBQUFJSUFBQUFBQUMwRTVqL0NnQUNBQTBBQWdRQ0FBY0FLd1FDQUFBQVNBUUFBQWFBQUFBQUFBQUNDQUF6a3dNQXRIdVUvd1FDRUFETmJQei90SHVVL3pPVEF3RG5ycHYvSXdnQkFBQUNCd0lBQUFBQUJ3MEFBUUFBQUFNQVlBRElBQU1BVGdBQUFBQUVnQTBBQUFBQUFnZ0FBQUR4LzZBWWZ2OEtBQUlBRGdBQUFBU0FEZ0FBQUFBQ0NBQUFBTlAvb0JoKy93b0FBZ0FQQUFJRUFnQUhBQ3NFQWdBQUFFZ0VBQUFHZ0FBQUFBQUFBZ2dBTkpQVy82Q0FldjhFQWhBQXpXelAvNkNBZXY4MGs5Yi8xTE9CL3lNSUFRQUFBZ2NDQUFBQUFBY05BQUVBQUFBREFHQUF5QUFEQUU0QUFBQUFCSUFQQUFBQUFBSUlBQUFBeFArMEU1ai9DZ0FDQUJBQUFBQUVnQkFBQUFBQUFnZ0ExS2VtLzNkUW52OEtBQUlBRVFBQ0JBSUFFQUFyQkFJQUFBQklCQUFBQm9BQUFBQUFBQUlJQU5SSHF2OTM5SnIvQkFJUUFOUUhvLzkzOUpyL2JtR3EvOTJhb2Y4akNBRUFBQUlIQWdBQUFBQUhEUUFCQUFBQUF3QmdBTWdBQXdCVEFBQUFBQVNBRVFBQUFBQUNDQUFOaGFQL1pDYTgvd29BQWdBU0FBQUFCSUFTQUFBQUFBSUlBQlR0dnY4aFdzai9DZ0FDQUJNQUFBQUVnQk1BQUFBQUFnZ0FBUURULzhjT3N2OEtBQUlBRkFBQUFBU0FGQUFBQUFBQ0NBRDZpWW4vWkNiTC93b0FBZ0FWQUFBQUJJQVZBQUFBQUFJSUFPYU9iLzlrSnJ6L0NnQUNBQllBQUFBRWdCWUFBQUFBQWdnQTA1TlYvMlFteS84S0FBSUFGd0FBQUFTQUZ3QUFBQUFDQ0FEVGsxWC9aQ2JwL3dvQUFnQVlBQUFBQklBWUFBQUFBQUlJQU9hT2IvOWtKdmovQ2dBQ0FCa0FBQUFFZ0JrQUFBQUFBZ2dBK29tSi8yUW02ZjhLQUFJQUdnQUFBQVdBR3dBQUFBb0FBZ0FiQUFRR0JBQUJBQUFBQlFZRUFBSUFBQUFLQmdFQUFRQUFCWUFjQUFBQUNnQUNBQndBQkFZRUFBSUFBQUFGQmdRQUF3QUFBQW9HQVFBQkFBQUZnQjBBQUFBS0FBSUFIUUFFQmdRQUF3QUFBQVVHQkFBRUFBQUFDZ1lCQUFFQUFBV0FIZ0FBQUFvQUFnQWVBQVFHQkFBRUFBQUFCUVlFQUFVQUFBQUtCZ0VBQVFBQUJZQWZBQUFBQ2dBQ0FCOEFCQVlFQUFRQUFBQUZCZ1FBQmdBQUFBb0dBUUFCQUFBRmdDQUFBQUFLQUFJQUlBQUVCZ1FBQmdBQUFBVUdCQUFIQUFBQUNnWUJBQUVBQUFXQUlRQUFBQW9BQWdBaEFBUUdCQUFIQUFBQUJRWUVBQWdBQUFBQUJnSUFBZ0FBQUFXQUlnQUFBQW9BQWdBaUFBUUdCQUFIQUFBQUJRWUVBQWtBQUFBS0JnRUFBUUFBQllBakFBQUFDZ0FDQUNNQUJBWUVBQWtBQUFBRkJnUUFDZ0FBQUFvR0FRQUJBQUFGZ0NRQUFBQUtBQUlBSkFBRUJnUUFDZ0FBQUFVR0JBQUxBQUFBQ2dZQkFBRUFBQVdBSlFBQUFBb0FBZ0FsQUFRR0JBQUxBQUFBQlFZRUFBd0FBQUFBQmdJQWdBQUFBQVdBSmdBQUFBb0FBZ0FtQUFRR0JBQU1BQUFBQlFZRUFBMEFBQUFBQmdJQWdBQUFBQVdBSndBQUFBb0FBZ0FuQUFRR0JBQU5BQUFBQlFZRUFBNEFBQUFBQmdJQWdBQUFBQVdBS0FBQUFBb0FBZ0FvQUFRR0JBQU9BQUFBQlFZRUFBOEFBQUFBQmdJQWdBQUFBQVdBS1FBQUFBb0FBZ0FwQUFRR0JBQVBBQUFBQlFZRUFCQUFBQUFBQmdJQWdBQUFBQVdBS2dBQUFBb0FBZ0FxQUFRR0JBQVFBQUFBQlFZRUFCRUFBQUFBQmdJQWdBQUFBQVdBS3dBQUFBb0FBZ0FyQUFRR0JBQVJBQUFBQlFZRUFCSUFBQUFBQmdJQWdBQUFBQVdBTEFBQUFBb0FBZ0FzQUFRR0JBQVNBQUFBQlFZRUFCTUFBQUFBQmdJQWdBQUFBQVdBTFFBQUFBb0FBZ0F0QUFRR0JBQUxBQUFBQlFZRUFCTUFBQUFBQmdJQWdBQUFBQVdBTGdBQUFBb0FBZ0F1QUFRR0JBQVBBQUFBQlFZRUFCTUFBQUFBQmdJQWdBQUFBQVdBTHdBQUFBb0FBZ0F2QUFRR0JBQVJBQUFBQlFZRUFCUUFBQUFBQUFXQU1BQUFBQW9BQWdBd0FBUUdCQUFVQUFBQUJRWUVBQlVBQUFBQUJnSUFnQUFBQUFXQU1RQUFBQW9BQWdBeEFBUUdCQUFWQUFBQUJRWUVBQllBQUFBQUJnSUFnQUFBQUFXQU1nQUFBQW9BQWdBeUFBUUdCQUFXQUFBQUJRWUVBQmNBQUFBQUJnSUFnQUFBQUFXQU13QUFBQW9BQWdBekFBUUdCQUFYQUFBQUJRWUVBQmdBQUFBQUJnSUFnQUFBQUFXQU5BQUFBQW9BQWdBMEFBUUdCQUFZQUFBQUJRWUVBQmtBQUFBQUJnSUFnQUFBQUFXQU5RQUFBQW9BQWdBMUFBUUdCQUFVQUFBQUJRWUVBQmtBQUFBQUJnSUFnQUFBQUFlQU9BQUFBQVFDRUFBQUFPTC8ra0d0L3dBQTR2KzBFNWovQ2dBQ0FEWUFBQW9DQUFRQUJBb0NBQUVBRFFJTUFMUVRtUDhBQU9ML0FBQUFBQTRDREFENlFhMy9BQURpL3dBQUFBQVBBZ3dBdEJPWS8wY3U5LzhBQUFBQUFBQUhnRGtBQUFBRUFoQUF5NTY1LzJZOHYvL0xucm4vNUdPdi93b0FBZ0EzQUFBS0FnQUVBQVFLQWdBQkFBMENEQURrWTYvL3k1NjUvd0FBQUFBT0Fnd0FaankvLzh1ZXVmOEFBQUFBRHdJTUFPUmpyLzlNZDhuL0FBQUFBQUFBQjRBNkFBQUFCQUlRQU9hT2IvK3JWTy8vNW81di8yUW0ydjhLQUFJQU9BQUFDZ0lBQkFBRUNnSUFBUUFOQWd3QVpDYmEvK2FPYi84QUFBQUFEZ0lNQUt0VTcvL21qbS8vQUFBQUFBOENEQUJrSnRyL0xiMkUvd0FBQUFBQUFBQUFBQUFBQUFBQQ==</t>
        </r>
      </text>
    </comment>
    <comment ref="A14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QzE3SDE0RjNONU9TfFNDSElTVE9TT01JQVNJU1BpY3R1cmUgMTF8Vm1wRFJEQXhNREFFQXdJQkFBQUFBQUFBQUFBQUFBQ0FBQUFBQUFNQUZnQUFBRU5vWlcxRWNtRjNJREV5TGpBdU1pNHhNRGMyQkFJUUFEaFJrLyswMzVUL1Jzb2VBSUFTMGdBQkNRZ0FBQUFBQUFBQUFBQUNDUWdBQUFEY0FnQUFLQUlOQ0FFQUFRZ0hBUUFCT2dRQkFBRTdCQUVBQUVVRUFRQUJQQVFCQUFBTUJnRUFBUThHQVFBQkRRWUJBQUJDQkFFQUFFTUVBUUFBUkFRQkFBQUtDQWdBQXdCZ0FNZ0FBd0FMQ0FnQUJBQUFBUEFBQXdBSkNBUUFNN01DQUFnSUJBQUFBQUlBQndnRUFBQUFBUUFHQ0FRQUFBQUVBQVVJQkFBQUFCNEFCQWdDQUhnQUF3Z0VBQUFBZUFBakNBRUFCUXdJQVFBQUtBZ0JBQUVwQ0FFQUFTb0lBUUFCQWdnUUFBQUFKQUFBQUNRQUFBQWtBQUFBSkFBQkF3SUFBQUFDQXdJQUFRQUFBdzRBQWdELy8vLy8vLzhBQUFBQUFBQUFBU1FBQUFBQ0FBTUE1QVFGQUVGeWFXRnNCQURrQkE4QVZHbHRaWE1nVG1WM0lGSnZiV0Z1QVlBOUFBQUFCQUlRQUFBQUFBQUFBQUFBQUlER0JCQjRiUVlXQ0FRQUFBQWtBQmdJQkFBQUFDUUFHUWdBQUJBSUFnQUJBQThJQWdBQkFBT0FPd0FBQUFRQ0VBQTRVWlAvdE4rVS8wYktIZ0NBRXRJQUJJQUJBQUFBQUFJSUFFaUZrLy9xbjNvQUNnQUNBQUlBTndRQkFBRUFBQVNBQWdBQUFBQUNDQUJRN2E3L0xXeHVBQW9BQWdBREFBQUFCSUFEQUFBQUFBSUlBR1BveVA4dGJIMEFDZ0FDQUFRQUFBQUVnQVFBQUFBQUFnZ0FLZ3ZNL3h0Q213QUtBQUlBQlFBQ0JBSUFFQUFyQkFJQUFBQklCQUFBTndRQkFBRUdnQUFBQUFBQUFnZ0FLcXZQL3h2bWx3QUVBaEFBS212SS94dm1sd0RFeE0vL2dZeWVBQ01JQVFBQUFnY0NBQUFBQUFjTkFBRUFBQUFEQUdBQXlBQURBRk1BQUFBQUJJQUZBQUFBQUFJSUFESno1Ly9YZGFjQUNnQUNBQVlBQUFBRWdBWUFBQUFBQWdnQStaWHEvOFZMeFFBS0FBSUFCd0FDQkFJQUJ3QXJCQUlBQUFCSUJBQUFOd1FCQUFFR2dBQUFBQUFBQWdnQUxDbnUvOFd6d1FBRUFoQUF4Z0xuLzhXendRQXNLZTcvK09iSUFDTUlBUUFBQWdjQ0FBQUFBQWNOQUFFQUFBQURBR0FBeUFBREFFNEFBQUFBQklBSEFBQUFBQUlJQUFEK0JRQ0NmOUVBQ2dBQ0FBZ0FOd1FCQUFFQUFBU0FDQUFBQUFBQ0NBQkFReDRBVWQyL0FBb0FBZ0FKQURjRUFRQUJBQUFFZ0FrQUFBQUFBZ2dBZUNBYkFHTUhvZ0FLQUFJQUNnQTNCQUVBQVFBQUJJQUtBQUFBQUFJSUFISzQvLyttMDVVQUNnQUNBQXNBQWdRQ0FBY0FLd1FDQUFBQVNBUUFBRGNFQVFBQkJvQUFBQUFBQUFJSUFLUkxBd0NtTzVJQUJBSVFBRDhsL1ArbU81SUFwRXNEQU5wdW1RQWpDQUVBQUFJSEFnQUFBQUFIRFFBQkFBQUFBd0JnQU1nQUF3Qk9BQUFBQUFTQUN3QUFBQUFDQ0FDOU05Ly9RVmxwQUFvQUFnQU1BQUFBQklBTUFBQUFBQUlJQU9xTC9QOEVsbThBQ2dBQ0FBMEFOd1FCQUFFQUFBU0FEUUFBQUFBQ0NBQVRLclgvQUJSUkFBb0FBZ0FPQUFJRUFnQUhBQ3NFQWdBQUFFZ0VBQUEzQkFFQUFRYUFBQUFBQUFBQ0NBQkd2YmovQUh4TkFBUUNFQURnbHJIL0FIeE5BRWE5dVA4MHIxUUFJd2dCQUFBQ0J3SUFBQUFBQncwQUFRQUFBQU1BWUFESUFBTUFUZ0FBQUFBRWdBNEFBQUFBQWdnQUFRRFQvem54VFFBS0FBSUFEd0FDQkFJQUJ3QXJCQUlBQUFCSUJBQUFCb0FBQUFBQUFBSUlBRFNUMXY4NVdVb0FCQUlRQU0xc3ovODVXVW9BTkpQVy8yeU1VUUFqQ0FFQUFBSUhBZ0FBQUFBSERRQUJBQUFBQXdCZ0FNZ0FBd0JPQUFBQUFBU0FEd0FBQUFBQ0NBQUJBT0wvSnZZekFBb0FBZ0FRQUFBQUJJQVFBQUFBQUFJSUFBQUEwLzhUK3hrQUNnQUNBQkVBQWdRQ0FBY0FLd1FDQUFFQVNBUUFBRGNFQVFBQkJvQUFBQUFBQUFJSUFMdzd6djhUWXhZQUJBSVFBRllWeC84VFl4WUFOSlBXLzBhV0hRQWpDQUVBQUFJSEFnQUFBQVVIQVFBRUJBY0dBQUlBQWdBREFBQUhEZ0FCQUFBQUF3QmdBTWdBQXdCT1NBQUFBQUFFZ0JFQUFBQUFBZ2dBQUFEaS93QUFBQUFLQUFJQUVnQUFBQVNBRWdBQUFBQUNDQUFBQUFBQUFBQUFBQW9BQWdBVEFEY0VBUUFCQUFBRWdCTUFBQUFBQWdnQS8vOE9BTzBFNXY4S0FBSUFGQUEzQkFFQUFRQUFCSUFVQUFBQUFBSUlBQUFBQUFEYUNjei9DZ0FDQUJVQU53UUJBQUVBQUFTQUZRQUFBQUFDQ0FBQUFPTC8yZ25NL3dvQUFnQVdBQUFBQklBV0FBQUFBQUlJQUFBQTAvL0hEckwvQ2dBQ0FCY0FBQUFFZ0JjQUFBQUFBZ2dBQUFDMS84Y09zdjhLQUFJQUdBQUNCQUlBQ1FBckJBSUFBQUJJQkFBQU53UUJBQUVHZ0FBQUFBQUFBZ2dBTkpPNC84ZmFydjhFQWhBQXpXeXgvOGZhcnY4MGs3ai9ZUFMwL3lNSUFRQUFBZ2NDQUFBQUFBY05BQUVBQUFBREFHQUF5QUFEQUVZQUFBQUFCSUFZQUFBQUFBSUlBQUFBeFArMEU1ai9DZ0FDQUJrQUFnUUNBQWtBS3dRQ0FBQUFTQVFBQURjRUFRQUJCb0FBQUFBQUFBSUlBRFNUeC8rMDM1VC9CQUlRQU0xc3dQKzAzNVQvTkpQSC8wMzVtdjhqQ0FFQUFBSUhBZ0FBQUFBSERRQUJBQUFBQXdCZ0FNZ0FBd0JHQUFBQUFBU0FHUUFBQUFBQ0NBQUFBT0wvdEJPWS93b0FBZ0FhQUFJRUFnQUpBQ3NFQWdBQUFFZ0VBQUEzQkFFQUFRYUFBQUFBQUFBQ0NBQTBrK1gvdE4rVS93UUNFQUROYk43L3ROK1UvelNUNWY5Titaci9Jd2dCQUFBQ0J3SUFBQUFBQncwQUFRQUFBQU1BWUFESUFBTUFSZ0FBQUFBRWdCb0FBQUFBQWdnQUFBRFQvKzBFNXY4S0FBSUFHd0EzQkFFQUFRQUFCSUFiQUFBQUFBSUlBQUFBQUFBbTlqTUFDZ0FDQUJ3QUFnUUNBQWdBS3dRQ0FBQUFTQVFBQURjRUFRQUJCb0FBQUFBQUFBSUlBQUNnQXdBbURqQUFCQUlRQUFCZy9QOG1EakFBbWJrREFDYk9Od0FqQ0FFQUFBSUhBZ0FBQUFBSERRQUJBQUFBQXdCZ0FNZ0FBd0JQQUFBQUFBV0FIUUFBQUFvQUFnQWRBQVFHQkFBQkFBQUFCUVlFQUFJQUFBQUtCZ0VBQVFBQUJZQWVBQUFBQ2dBQ0FCNEFCQVlFQUFJQUFBQUZCZ1FBQXdBQUFBb0dBUUFCQUFBRmdCOEFBQUFLQUFJQUh3QUVCZ1FBQXdBQUFBVUdCQUFFQUFBQUNnWUJBQUVBQUFXQUlBQUFBQW9BQWdBZ0FBUUdCQUFFQUFBQUJRWUVBQVVBQUFBS0JnRUFBUUFBQllBaEFBQUFDZ0FDQUNFQUJBWUVBQVVBQUFBRkJnUUFCZ0FBQUFBR0FnQUNBQU1HQWdBQ0FBc0dFQUFnQUFBQUpnQUFBQ0lBQUFBQUFBQUFBQUFGZ0NJQUFBQUtBQUlBSWdBRUJnUUFCZ0FBQUFVR0JBQUhBQUFBQ2dZQkFBRUFBQVdBSXdBQUFBb0FBZ0FqQUFRR0JBQUhBQUFBQlFZRUFBZ0FBQUFBQmdJQUFnQURCZ0lBQWdBTEJoQUFBQUFBQUNJQUFBQWtBQUFBQUFBQUFBQUFCWUFrQUFBQUNnQUNBQ1FBQkFZRUFBZ0FBQUFGQmdRQUNRQUFBQW9HQVFBQkFBQUZnQ1VBQUFBS0FBSUFKUUFFQmdRQUNRQUFBQVVHQkFBS0FBQUFBQVlDQUFJQUF3WUNBQUlBQ3dZUUFBQUFBQUFrQUFBQUpnQUFBQUFBQUFBQUFBV0FKZ0FBQUFvQUFnQW1BQVFHQkFBRkFBQUFCUVlFQUFvQUFBQUtCZ0VBQVFBQUJZQW5BQUFBQ2dBQ0FDY0FCQVlFQUFNQUFBQUZCZ1FBQ3dBQUFBQUdBZ0FDQUFNR0FnQUNBQXNHRUFBZkFBQUFIZ0FBQUNzQUFBQW9BQUFBQUFBRmdDZ0FBQUFLQUFJQUtBQUVCZ1FBQ3dBQUFBVUdCQUFNQUFBQUNnWUJBQUVBQUFXQUtRQUFBQW9BQWdBcEFBUUdCQUFDQUFBQUJRWUVBQTBBQUFBQUJnSUFBZ0FEQmdJQUFRQUxCaEFBSGdBQUFCMEFBQUFBQUFBQUtnQUFBQUFBQllBcUFBQUFDZ0FDQUNvQUJBWUVBQTBBQUFBRkJnUUFEZ0FBQUFvR0FRQUJBQUFGZ0NzQUFBQUtBQUlBS3dBRUJnUUFDd0FBQUFVR0JBQU9BQUFBQ2dZQkFBRUFBQVdBTEFBQUFBb0FBZ0FzQUFRR0JBQU9BQUFBQlFZRUFBOEFBQUFLQmdFQUFRQUFCWUF0QUFBQUNnQUNBQzBBQkFZRUFBOEFBQUFGQmdRQUVBQUFBQW9HQVFBQkFBQUZnQzRBQUFBS0FBSUFMZ0FFQmdRQUVBQUFBQVVHQkFBUkFBQUFDZ1lCQUFFQUFBV0FMd0FBQUFvQUFnQXZBQVFHQkFBUkFBQUFCUVlFQUJJQUFBQUFCZ0lBQWdBREJnSUFBZ0FMQmhBQUxnQUFBRGdBQUFBd0FBQUFBQUFBQUFBQUJZQXdBQUFBQ2dBQ0FEQUFCQVlFQUJJQUFBQUZCZ1FBRXdBQUFBb0dBUUFCQUFBRmdERUFBQUFLQUFJQU1RQUVCZ1FBRXdBQUFBVUdCQUFVQUFBQUFBWUNBQUlBQXdZQ0FBSUFDd1lRQUFBQUFBQXdBQUFBTWdBQUFBQUFBQUFBQUFXQU1nQUFBQW9BQWdBeUFBUUdCQUFVQUFBQUJRWUVBQlVBQUFBS0JnRUFBUUFBQllBekFBQUFDZ0FDQURNQUJBWUVBQlVBQUFBRkJnUUFGZ0FBQUFvR0FRQUJBQUFGZ0RRQUFBQUtBQUlBTkFBRUJnUUFGZ0FBQUFVR0JBQVhBQUFBQ2dZQkFBRUFBQVdBTlFBQUFBb0FBZ0ExQUFRR0JBQVdBQUFBQlFZRUFCZ0FBQUFLQmdFQUFRQUFCWUEyQUFBQUNnQUNBRFlBQkFZRUFCWUFBQUFGQmdRQUdRQUFBQW9HQVFBQkFBQUZnRGNBQUFBS0FBSUFOd0FFQmdRQUZRQUFBQVVHQkFBYUFBQUFBQVlDQUFJQUF3WUNBQUlBQ3dZUUFETUFBQUF5QUFBQU9BQUFBQUFBQUFBQUFBV0FPQUFBQUFvQUFnQTRBQVFHQkFBUkFBQUFCUVlFQUJvQUFBQUtCZ0VBQVFBQUJZQTVBQUFBQ2dBQ0FEa0FCQVlFQUE4QUFBQUZCZ1FBR3dBQUFBQUdBZ0FDQUFBQUFBQUFBQUFBQUFBPQ==</t>
        </r>
      </text>
    </comment>
    <comment ref="A15" authorId="0" shapeId="0" xr:uid="{00000000-0006-0000-0700-00000D000000}">
      <text>
        <r>
          <rPr>
            <b/>
            <sz val="9"/>
            <color rgb="FF000000"/>
            <rFont val="Tahoma"/>
            <family val="2"/>
          </rPr>
          <t>QzE5SDIxTjNPM3xTQ0hJU1RPU09NSUFTSVNQaWN0dXJlIDEzfFZtcERSREF4TURBRUF3SUJBQUFBQUFBQUFBQUFBQUNBQUFBQUFBTUFGZ0FBQUVOb1pXMUVjbUYzSURFeUxqQXVNaTR4TURjMkJBSVFBQUZnb3YrNnUwTCsvLzlLQUxSVG1QOEJDUWdBQUFBQUFBQUFBQUFDQ1FnQUFBRGNBZ0FBS0FJTkNBRUFBUWdIQVFBQk9nUUJBQUU3QkFFQUFFVUVBUUFCUEFRQkFBQU1CZ0VBQVE4R0FRQUJEUVlCQUFCQ0JBRUFBRU1FQVFBQVJBUUJBQUFLQ0FnQUF3QmdBTWdBQXdBTENBZ0FCQUFBQVBBQUF3QUpDQVFBTTdNQ0FBZ0lCQUFBQUFJQUJ3Z0VBQUFBQVFBR0NBUUFBQUFFQUFVSUJBQUFBQjRBQkFnQ0FIZ0FBd2dFQUFBQWVBQWpDQUVBQlF3SUFRQUFLQWdCQUFFcENBRUFBU29JQVFBQkFnZ1FBQUFBSkFBQUFDUUFBQUFrQUFBQUpBQUJBd0lBQUFBQ0F3SUFBUUFBQXc0QUFnRC8vLy8vLy84QUFBQUFBQUFBQVNRQUFBQUNBQU1BNUFRRkFFRnlhV0ZzQkFEa0JBOEFWR2x0WlhNZ1RtVjNJRkp2YldGdUFZQTVBQUFBQkFJUUFBQUFBQUFBQUFBQUFJREdCRmE4R1FjV0NBUUFBQUFrQUJnSUJBQUFBQ1FBR1FnQUFCQUlBZ0FCQUE4SUFnQUJBQU9BTmdBQUFBUUNFQUFCWUtML3VydEMvdi8vU2dDMFU1ai9CSUFCQUFBQUFBSUlBUC8vU2dDZ0dINy9DZ0FDQUFJQU53UUJBQUVBQUFTQUFnQUFBQUFDQ0FELy95d0FvQmgrL3dvQUFnQURBQUFBQklBREFBQUFBQUlJQVAvL0hRQzBFNWovQ2dBQ0FBUUFOd1FCQUFFQUFBU0FCQUFBQUFBQ0NBRC8veDBBalIxay93b0FBZ0FGQUFBQUJJQUZBQUFBQUFJSUFBQUFBQUNOSFdUL0NnQUNBQVlBQUFBRWdBWUFBQUFBQWdnQUFBRHgvM29pU3Y4S0FBSUFCd0FBQUFTQUJ3QUFBQUFDQ0FBQUFBQUFaeWN3L3dvQUFnQUlBQUFBQklBSUFBQUFBQUlJQUFBQThmOVRMQmIvQ2dBQ0FBa0FBZ1FDQUFjQUt3UUNBQUVBU0FRQUFEY0VBUUFCQm9BQUFBQUFBQUlJQUx3NzdQOVRsQkwvQkFJUUFGWVY1ZjlUbEJML05KUDAvNGZIR2Y4akNBRUFBQUlIQWdBQUFBVUhBUUFFQkFjR0FBSUFBZ0FEQUFBSERnQUJBQUFBQXdCZ0FNZ0FBd0JPU0FBQUFBQUVnQWtBQUFBQUFnZ0FBQUFBQUVBeC9QNEtBQUlBQ2dBQUFBU0FDZ0FBQUFBQ0NBQUFBQjRBUURIOC9nb0FBZ0FMQUFJRUFnQUlBQ3NFQWdBQUFFZ0VBQUEzQkFFQUFRYUFBQUFBQUFBQ0NBQUFvQ0VBUUVuNC9nUUNFQUFBWUJvQVFFbjQvcG01SVFCQUNRRC9Jd2dCQUFBQ0J3SUFBQUFBQncwQUFRQUFBQU1BWUFESUFBTUFUd0FBQUFBRWdBc0FBQUFBQWdnQUFBRHgveTAyNHY0S0FBSUFEQUEzQkFFQUFRQUFCSUFNQUFBQUFBSUlBQUFBQUFBYU84aitDZ0FDQUEwQUFnUUNBQWdBS3dRQ0FBQUFTQVFBQURjRUFRQUJCb0FBQUFBQUFBSUlBQUNnQXdBYVU4VCtCQUlRQUFGZy9QOGFVOFQrbWJrREFCb1R6UDRqQ0FFQUFBSUhBZ0FBQUFBSERRQUJBQUFBQXdCZ0FNZ0FBd0JQQUFBQUFBU0FEUUFBQUFBQ0NBQUJBUEgvQjBDdS9nb0FBZ0FPQUFBQUJJQU9BQUFBQUFJSUFBQUFBQUR6UkpUK0NnQUNBQThBTndRQkFBRUFBQVNBRHdBQUFBQUNDQUFCQVBILzRFbDYvZ29BQWdBUUFBQUFCSUFRQUFBQUFBSUlBQUVBMC8vZ1NYcitDZ0FDQUJFQUFBQUVnQkVBQUFBQUFnZ0FBUURFLzgxT1lQNEtBQUlBRWdBM0JBRUFBUUFBQklBU0FBQUFBQUlJQUFFQXRmKzZVMGIrQ2dBQ0FCTUFBZ1FDQUFjQUt3UUNBQUFBU0FRQUFEY0VBUUFCQm9BQUFBQUFBQUlJQURTVHVQKzZ1MEwrQkFJUUFNMXNzZis2dTBMK05KTzQvKzN1U2Y0akNBRUFBQUlIQWdBQUFBQUhEUUFCQUFBQUF3QmdBTWdBQXdCT0FBQUFBQVNBRXdBQUFBQUNDQUFCQU1ULzgwU1UvZ29BQWdBVUFBQUFCSUFVQUFBQUFBSUlBQUVBcHYvelJKVCtDZ0FDQUJVQUFnUUNBQWdBS3dRQ0FBQUFTQVFBQURjRUFRQUJCb0FBQUFBQUFBSUlBQUdncWYvelhKRCtCQUlRQUFGZ292L3pYSkQrbXJtcC8vTWNtUDRqQ0FFQUFBSUhBZ0FBQUFBSERRQUJBQUFBQXdCZ0FNZ0FBd0JQQUFBQUFBU0FGUUFBQUFBQ0NBQUFBTlAvQjBDdS9nb0FBZ0FXQUFJRUFnQUhBQ3NFQWdBQUFFZ0VBQUFHZ0FBQUFBQUFBZ2dBTkpQVy93ZW9xdjRFQWhBQXpXelAvd2VvcXY0MGs5Yi9PdHV4L2lNSUFRQUFBZ2NDQUFBQUFBY05BQUVBQUFBREFHQUF5QUFEQUU0QUFBQUFCSUFXQUFBQUFBSUlBQUFBeFA4YU84aitDZ0FDQUJjQU53UUJBQUVBQUFTQUZ3QUFBQUFDQ0FBQUFBQUF6VTVnL2dvQUFnQVlBRGNFQVFBQkFBQUVnQmdBQUFBQUFnZ0EvLzhkQUdjbk1QOEtBQUlBR1FBQUFBU0FHUUFBQUFBQ0NBRC8veXdBZWlKSy93b0FBZ0FhQUFBQUJZQWJBQUFBQ2dBQ0FCc0FCQVlFQUFFQUFBQUZCZ1FBQWdBQUFBb0dBUUFCQUFBRmdCd0FBQUFLQUFJQUhBQUVCZ1FBQWdBQUFBVUdCQUFEQUFBQUNnWUJBQUVBQUFXQUhRQUFBQW9BQWdBZEFBUUdCQUFDQUFBQUJRWUVBQVFBQUFBS0JnRUFBUUFBQllBZUFBQUFDZ0FDQUI0QUJBWUVBQVFBQUFBRkJnUUFCUUFBQUFBR0FnQ0FBQUFBQllBZkFBQUFDZ0FDQUI4QUJBWUVBQVVBQUFBRkJnUUFCZ0FBQUFBR0FnQ0FBQUFBQllBZ0FBQUFDZ0FDQUNBQUJBWUVBQVlBQUFBRkJnUUFCd0FBQUFBR0FnQ0FBQUFBQllBaEFBQUFDZ0FDQUNFQUJBWUVBQWNBQUFBRkJnUUFDQUFBQUFvR0FRQUJBQUFGZ0NJQUFBQUtBQUlBSWdBRUJnUUFDQUFBQUFVR0JBQUpBQUFBQ2dZQkFBRUFBQVdBSXdBQUFBb0FBZ0FqQUFRR0JBQUpBQUFBQlFZRUFBb0FBQUFBQmdJQUFnQUFBQVdBSkFBQUFBb0FBZ0FrQUFRR0JBQUpBQUFBQlFZRUFBc0FBQUFLQmdFQUFRQUFCWUFsQUFBQUNnQUNBQ1VBQkFZRUFBc0FBQUFGQmdRQURBQUFBQW9HQVFBQkFBQUZnQ1lBQUFBS0FBSUFKZ0FFQmdRQURBQUFBQVVHQkFBTkFBQUFDZ1lCQUFFQUFBV0FKd0FBQUFvQUFnQW5BQVFHQkFBTkFBQUFCUVlFQUE0QUFBQUFCZ0lBQWdBREJnSUFBZ0FMQmhBQUpnQUFBQzhBQUFBb0FBQUFBQUFBQUFBQUJZQW9BQUFBQ2dBQ0FDZ0FCQVlFQUE0QUFBQUZCZ1FBRHdBQUFBb0dBUUFCQUFBRmdDa0FBQUFLQUFJQUtRQUVCZ1FBRHdBQUFBVUdCQUFRQUFBQUFBWUNBQUlBQXdZQ0FBSUFDd1lRQURFQUFBQW9BQUFBTEFBQUFDb0FBQUFBQUFXQUtnQUFBQW9BQWdBcUFBUUdCQUFRQUFBQUJRWUVBQkVBQUFBS0JnRUFBUUFBQllBckFBQUFDZ0FDQUNzQUJBWUVBQkVBQUFBRkJnUUFFZ0FBQUFBR0FnQUVBQW9HQVFBQkFBQUZnQ3dBQUFBS0FBSUFMQUFFQmdRQUVBQUFBQVVHQkFBVEFBQUFDZ1lCQUFFQUFBV0FMUUFBQUFvQUFnQXRBQVFHQkFBVEFBQUFCUVlFQUJRQUFBQUFCZ0lBQWdBQUFBV0FMZ0FBQUFvQUFnQXVBQVFHQkFBVEFBQUFCUVlFQUJVQUFBQUtCZ0VBQVFBQUJZQXZBQUFBQ2dBQ0FDOEFCQVlFQUEwQUFBQUZCZ1FBRlFBQUFBb0dBUUFCQUFBRmdEQUFBQUFLQUFJQU1BQUVCZ1FBRlFBQUFBVUdCQUFXQUFBQUNnWUJBQUVBQUFXQU1RQUFBQW9BQWdBeEFBUUdCQUFQQUFBQUJRWUVBQmNBQUFBS0JnRUFBUUFBQllBeUFBQUFDZ0FDQURJQUJBWUVBQWNBQUFBRkJnUUFHQUFBQUFBR0FnQ0FBQUFBQllBekFBQUFDZ0FDQURNQUJBWUVBQmdBQUFBRkJnUUFHUUFBQUFBR0FnQ0FBQUFBQllBMEFBQUFDZ0FDQURRQUJBWUVBQVFBQUFBRkJnUUFHUUFBQUFBR0FnQ0FBQUFBQjRBM0FBQUFCQUlRQVAvL0RnREFVRi8vLy84T0FIb2lTdjhLQUFJQU5RQUFDZ0lBQkFBRUNnSUFBUUFOQWd3QWVpSksvLy8vRGdBQUFBQUFEZ0lNQU1CUVgvLy8vdzRBQUFBQUFBOENEQUI2SWtyL1JpNGtBQUFBQUFBQUFBQUFBQUFBQUFBQQ==</t>
        </r>
      </text>
    </comment>
  </commentList>
</comments>
</file>

<file path=xl/sharedStrings.xml><?xml version="1.0" encoding="utf-8"?>
<sst xmlns="http://schemas.openxmlformats.org/spreadsheetml/2006/main" count="9551" uniqueCount="2039">
  <si>
    <t>FIOCRUZ DATA</t>
  </si>
  <si>
    <t>Rack</t>
  </si>
  <si>
    <t>Position</t>
  </si>
  <si>
    <t>COMPOUND ID</t>
  </si>
  <si>
    <t>SMILES</t>
  </si>
  <si>
    <t>TRIVIAL NAME</t>
  </si>
  <si>
    <t>UCSD 24 h</t>
  </si>
  <si>
    <t>UCSD 48 h</t>
  </si>
  <si>
    <t>% VIABILITY XTT</t>
  </si>
  <si>
    <t>PathogenBox_PlateA</t>
  </si>
  <si>
    <t>A02</t>
  </si>
  <si>
    <t>MMV010764</t>
  </si>
  <si>
    <t>C(Nc1nn2c(cnc2s1)c3cccs3)C4CCOCC4</t>
  </si>
  <si>
    <t>A03</t>
  </si>
  <si>
    <t>MMV688472</t>
  </si>
  <si>
    <t>CC(Oc1cccc(Cl)c1)C(=O)Nc1ccc2oc(nc2c1)-c1ccncc1</t>
  </si>
  <si>
    <t>A04</t>
  </si>
  <si>
    <t>MMV688416</t>
  </si>
  <si>
    <t>CC(C)(C)OC(=O)N1CCN(CC1)c2nccc(n2)c3ccc(s3)c4ccc(Cl)cc4</t>
  </si>
  <si>
    <t>A05</t>
  </si>
  <si>
    <t>MMV689758</t>
  </si>
  <si>
    <t>COc1nc2ccc(Br)cc2cc1[C@@H](c3ccccc3)[C@@](O)(CCN(C)C)c4cccc5ccccc45</t>
  </si>
  <si>
    <t>Bedaquiline</t>
  </si>
  <si>
    <t>A06</t>
  </si>
  <si>
    <t>MMV688796</t>
  </si>
  <si>
    <t>Fc1ccc(cc1)c2oc(cc2)C(=O)NCc3nnc4CCCCCn34</t>
  </si>
  <si>
    <t>A07</t>
  </si>
  <si>
    <t>MMV676526</t>
  </si>
  <si>
    <t>COc1ccc(cc1)c2cc(NC(=O)c3ccc(F)cc3Cl)ccc2OC</t>
  </si>
  <si>
    <t>A08</t>
  </si>
  <si>
    <t>MMV688553</t>
  </si>
  <si>
    <t>O=C(NCc1cocc1)N2CCN(Cc3ccc4OCOc4c3)CC2</t>
  </si>
  <si>
    <t>A09</t>
  </si>
  <si>
    <t>MMV676501</t>
  </si>
  <si>
    <t>Clc1ccc(s1)C(=O)Nc2oc(nn2)c3ccc(Cl)s3</t>
  </si>
  <si>
    <t>A10</t>
  </si>
  <si>
    <t>MMV676449</t>
  </si>
  <si>
    <t>CCc1nc2ccccc2n1CC(O)COc3cc(C)ccc3Cl</t>
  </si>
  <si>
    <t>A11</t>
  </si>
  <si>
    <t>MMV676412</t>
  </si>
  <si>
    <t>Clc1ccc(cc1)S(=O)(=O)c2oc(nc2C#N)c3ccccc3</t>
  </si>
  <si>
    <t>B02</t>
  </si>
  <si>
    <t>MMV1110498</t>
  </si>
  <si>
    <t>FC(F)(F)C1=C(C(N2CCCCC2)=O)N(C=CC=C3OC)C3=N1</t>
  </si>
  <si>
    <t>B03</t>
  </si>
  <si>
    <t>MMV000907</t>
  </si>
  <si>
    <t>COc1cccc2c(C)nc(N=C(N)N)nc12</t>
  </si>
  <si>
    <t>B04</t>
  </si>
  <si>
    <t>MMV688889</t>
  </si>
  <si>
    <t>Clc1ccc(CCNc2cc(nc3ncnn23)c4ccccc4)cc1</t>
  </si>
  <si>
    <t>B05</t>
  </si>
  <si>
    <t>MMV688776</t>
  </si>
  <si>
    <t>Cc1nn2C(=O)C3=C(CCCC3)Nc2c1c4ccc(Cl)cc4</t>
  </si>
  <si>
    <t>B06</t>
  </si>
  <si>
    <t>MMV688934</t>
  </si>
  <si>
    <t>CCc1nn(C)c(C(=O)NCc2ccc(Oc3ccc(C)cc3)cc2)c1Cl</t>
  </si>
  <si>
    <t>B07</t>
  </si>
  <si>
    <t>MMV676389</t>
  </si>
  <si>
    <t>O=C(N1CCN(Cc2ccc3OCOc3c2)CC1)c4[nH]nc5CCCCc45</t>
  </si>
  <si>
    <t>B08</t>
  </si>
  <si>
    <t>MMV676603</t>
  </si>
  <si>
    <t>CC1COC2(CCN(CC2)C3=NC(=O)c4cc(cc(c4S3)[N+](=O)[O-])C(F)(F)F)O1</t>
  </si>
  <si>
    <t>B09</t>
  </si>
  <si>
    <t>MMV676401</t>
  </si>
  <si>
    <t>C(Nc1nc(nc2ccccc12)N3CCCCC3)c4occc4</t>
  </si>
  <si>
    <t>B10</t>
  </si>
  <si>
    <t>MMV102872</t>
  </si>
  <si>
    <t>FC(F)(F)c1cccc(c1)C(=O)Nc2oc(nn2)c3ccc(Cl)cc3</t>
  </si>
  <si>
    <t>B11</t>
  </si>
  <si>
    <t>MMV676477</t>
  </si>
  <si>
    <t>CCC1=C(C)N=C(NC1=O)n2nc(C)cc2NC(=O)c3ccccc3SC</t>
  </si>
  <si>
    <t>C02</t>
  </si>
  <si>
    <t>MMV084603</t>
  </si>
  <si>
    <t>O=C1N(Cc2cc3ccccc3s2)CC4CN(Cc5ccccc5)CCN14</t>
  </si>
  <si>
    <t>C03</t>
  </si>
  <si>
    <t>MMV688548</t>
  </si>
  <si>
    <t>CC(C)(C)n1nc(-c2ccccc2)c2c(N)ncnc12</t>
  </si>
  <si>
    <t>C04</t>
  </si>
  <si>
    <t>MMV688888</t>
  </si>
  <si>
    <t>CN1CCN(CC1)c2cc(nc(n2)c3ccncc3)c4ccc(F)cc4</t>
  </si>
  <si>
    <t>C05</t>
  </si>
  <si>
    <t>MMV690028</t>
  </si>
  <si>
    <t>COC1=C(OCCCCOC2=CC=C(C3=NNN=N3)C=C2)C=C(C4=NN(C5CCCCCC5)C(C4(C)C)=O)C=C1</t>
  </si>
  <si>
    <t>C06</t>
  </si>
  <si>
    <t>MMV688943</t>
  </si>
  <si>
    <t>CC1COC(Cn2cncn2)(O1)c3ccc(Oc4ccc(Cl)cc4)cc3Cl</t>
  </si>
  <si>
    <t>C07</t>
  </si>
  <si>
    <t>MMV053220</t>
  </si>
  <si>
    <t>NC(=O)COc1ccc(cc1)c2ccc(cc2)C#N</t>
  </si>
  <si>
    <t>C08</t>
  </si>
  <si>
    <t>MMV676584</t>
  </si>
  <si>
    <t>Fc1ccc2c(Cl)c(sc2c1)C(=O)NC3=NCCS3</t>
  </si>
  <si>
    <t>C09</t>
  </si>
  <si>
    <t>MMV676439</t>
  </si>
  <si>
    <t>Cc1ccc2nc(Cl)c(CNCc3cccs3)cc2c1</t>
  </si>
  <si>
    <t>C10</t>
  </si>
  <si>
    <t>MMV676395</t>
  </si>
  <si>
    <t>OC1=C(C(=O)Nc2cccnc2)C(=O)N3CCc4cccc1c34</t>
  </si>
  <si>
    <t>C11</t>
  </si>
  <si>
    <t>MMV676379</t>
  </si>
  <si>
    <t>COc1cccc(OCC(=O)c2ccc(Br)cc2)c1</t>
  </si>
  <si>
    <t>D02</t>
  </si>
  <si>
    <t>MMV687762</t>
  </si>
  <si>
    <t>C1CC(CCO1)c2cc(n[nH]2)c3ccc(Oc4ccccc4)cc3</t>
  </si>
  <si>
    <t>D03</t>
  </si>
  <si>
    <t>MMV1028806</t>
  </si>
  <si>
    <t>Fc1ccccc1C2CC2C(=O)Nc3nc(cs3)c4ccccn4</t>
  </si>
  <si>
    <t>D04</t>
  </si>
  <si>
    <t>MMV661713</t>
  </si>
  <si>
    <t>Brc1cncc(c1)c2cc(NCCCn3ccnc3)nc(n2)c4ccccc4</t>
  </si>
  <si>
    <t>D05</t>
  </si>
  <si>
    <t>MMV688793</t>
  </si>
  <si>
    <t>Cc1onc(C)c1COc2cccc(c2)C(=O)Nc3ncccc3C</t>
  </si>
  <si>
    <t>D06</t>
  </si>
  <si>
    <t>MMV688942</t>
  </si>
  <si>
    <t>CC(C)(C)C(O)C(Oc1ccc(cc1)c2ccccc2)n3cncn3</t>
  </si>
  <si>
    <t>D07</t>
  </si>
  <si>
    <t>MMV688554</t>
  </si>
  <si>
    <t>CNc1snc(C)c1C(=O)NCCOc2ccc(OC)cc2</t>
  </si>
  <si>
    <t>D08</t>
  </si>
  <si>
    <t>MMV676555</t>
  </si>
  <si>
    <t>Cc1nnc(NCc2cccc(Cl)c2)c3ccccc13</t>
  </si>
  <si>
    <t>D09</t>
  </si>
  <si>
    <t>MMV676383</t>
  </si>
  <si>
    <t>CCC(Sc1oc2ccccc2n1)C(=O)Nc3nccs3</t>
  </si>
  <si>
    <t>D10</t>
  </si>
  <si>
    <t>MMV676444</t>
  </si>
  <si>
    <t>O=C(NC1CCCCC1)N2CCN(Cc3ccc4OCOc4c3)CC2</t>
  </si>
  <si>
    <t>D11</t>
  </si>
  <si>
    <t>MMV676409</t>
  </si>
  <si>
    <t>Fc1cccc(OCC(=O)Nc2nc(cs2)c3ccccn3)c1</t>
  </si>
  <si>
    <t>E02</t>
  </si>
  <si>
    <t>MMV688514</t>
  </si>
  <si>
    <t>NC(=N)c1ccc(cc1)c2cc(on2)c3ccccc3</t>
  </si>
  <si>
    <t>E03</t>
  </si>
  <si>
    <t>MMV676350</t>
  </si>
  <si>
    <t>Cc1cnc(CCNC(=O)c2cc(cs2)c3ccc(Cl)cc3)[nH]1</t>
  </si>
  <si>
    <t>E04</t>
  </si>
  <si>
    <t>MMV553002</t>
  </si>
  <si>
    <t>CS(=O)(=O)CC1=Nc2ccccc2OC1=O</t>
  </si>
  <si>
    <t>E05</t>
  </si>
  <si>
    <t>MMV688797</t>
  </si>
  <si>
    <t>CC1CCCCN1C(=O)NCCc2coc(n2)c3ccc(F)cc3</t>
  </si>
  <si>
    <t>E06</t>
  </si>
  <si>
    <t>MMV688756</t>
  </si>
  <si>
    <t>CC(=O)NC[C@H]1CN(C(=O)O1)c2ccc(N3CCSCC3)c(F)c2</t>
  </si>
  <si>
    <t>E07</t>
  </si>
  <si>
    <t>MMV090930</t>
  </si>
  <si>
    <t>CCOC(=O)NC(=O)c1ccsc1NC(=O)c2nc3ccccc3s2</t>
  </si>
  <si>
    <t>E08</t>
  </si>
  <si>
    <t>MMV676431</t>
  </si>
  <si>
    <t>Cc1ccc(NC(=O)CC2COc3ccccc3O2)cc1Cl</t>
  </si>
  <si>
    <t>E09</t>
  </si>
  <si>
    <t>MMV676571</t>
  </si>
  <si>
    <t>COc1ccc(cc1OC)c2onc(n2)c3cccc(NC(=O)Cc4ccc(F)cc4)c3</t>
  </si>
  <si>
    <t>E10</t>
  </si>
  <si>
    <t>MMV676445</t>
  </si>
  <si>
    <t>CCCn1c(CNc2ccccc2O)nc3ccccc13</t>
  </si>
  <si>
    <t>E11</t>
  </si>
  <si>
    <t>MMV676589</t>
  </si>
  <si>
    <t>O=C(CCC1CCCCC1)Nc2cccc(c2)c3oc(nn3)c4occc4</t>
  </si>
  <si>
    <t>F02</t>
  </si>
  <si>
    <t>MMV026020</t>
  </si>
  <si>
    <t>CS(=O)(=O)c1cccc(c1)c2cnc3[nH]cc(c4ccc(CCC(=O)O)cc4)c3c2</t>
  </si>
  <si>
    <t>F03</t>
  </si>
  <si>
    <t>MMV688471</t>
  </si>
  <si>
    <t>CC(C(=O)Nc1ccc2oc(nc2c1)-c1ccncc1)c1ccccc1</t>
  </si>
  <si>
    <t>F04</t>
  </si>
  <si>
    <t>MMV676388</t>
  </si>
  <si>
    <t>COc1cccc(c1)n2nnnc2S(=O)(=O)Cc3ccccc3</t>
  </si>
  <si>
    <t>F05</t>
  </si>
  <si>
    <t>MMV202553</t>
  </si>
  <si>
    <t>CCC(=O)Nc1ccccc1C(=O)Nc2ccccn2</t>
  </si>
  <si>
    <t>F06</t>
  </si>
  <si>
    <t>MMV688936</t>
  </si>
  <si>
    <t>Clc1cccc2sc(nc12)N(CCCn3ccnc3)C(=O)c4occc4</t>
  </si>
  <si>
    <t>F07</t>
  </si>
  <si>
    <t>MMV676476</t>
  </si>
  <si>
    <t>CC1=C(CCC(=O)O)C(=O)Oc2c(C)c(OCc3cc(C)cc(C)c3)ccc12</t>
  </si>
  <si>
    <t>F08</t>
  </si>
  <si>
    <t>MMV676377</t>
  </si>
  <si>
    <t>Brc1c(nc2ncccn12)c3ccc4OCOc4c3</t>
  </si>
  <si>
    <t>F09</t>
  </si>
  <si>
    <t>MMV676406</t>
  </si>
  <si>
    <t>CC(C)n1ncc2c(cc(nc12)c3ccccc3)C(=O)NCC(N4CCOCC4)c5cccs5</t>
  </si>
  <si>
    <t>F10</t>
  </si>
  <si>
    <t>MMV676461</t>
  </si>
  <si>
    <t>CCOC(=O)c1cc(on1)c2csc(Nc3c(C)cc(C)cc3C)n2</t>
  </si>
  <si>
    <t>F11</t>
  </si>
  <si>
    <t>MMV676509</t>
  </si>
  <si>
    <t>Cc1ccc2oc(nc2c1)c3cc(NC(=O)Cc4ccccc4)ccc3Cl</t>
  </si>
  <si>
    <t>G02</t>
  </si>
  <si>
    <t>MMV688470</t>
  </si>
  <si>
    <t>CS(=O)(=O)N1CCC(CCn2nc(Cc3cccc4ccccc34)c3c(N)ncnc23)CC1</t>
  </si>
  <si>
    <t>G03</t>
  </si>
  <si>
    <t>MMV688704</t>
  </si>
  <si>
    <t>Cc1cc2nc(NC(=O)C(C)(C)C)nc(Cl)c2n1Cc1ccc(Cl)cc1</t>
  </si>
  <si>
    <t>G04</t>
  </si>
  <si>
    <t>MMV188296</t>
  </si>
  <si>
    <t>CNC(=O)C1Cc2ccccc2N1C(=O)Cc3ccc(F)cc3</t>
  </si>
  <si>
    <t>G05</t>
  </si>
  <si>
    <t>MMV688958</t>
  </si>
  <si>
    <t>O=C(NCCc1csc(n1)c2ccccc2)c3ccccc3</t>
  </si>
  <si>
    <t>G06</t>
  </si>
  <si>
    <t>MMV063404</t>
  </si>
  <si>
    <t>Cc1nn(Cc2ccccc2)c(Cl)c1C(=O)NC3CCCCCC3</t>
  </si>
  <si>
    <t>G07</t>
  </si>
  <si>
    <t>MMV676558</t>
  </si>
  <si>
    <t>CC1=NN(C(=O)C1Cc2cccc3ccccc23)c4nc5ccccc5s4</t>
  </si>
  <si>
    <t>G08</t>
  </si>
  <si>
    <t>MMV688555</t>
  </si>
  <si>
    <t>Clc1ccc(CN2CCN(CC2)C(=O)NCc3occc3)s1</t>
  </si>
  <si>
    <t>G09</t>
  </si>
  <si>
    <t>MMV676597</t>
  </si>
  <si>
    <t>CCCn1nnc(NC(=O)COc2ccc(cc2)C3CCCCC3)n1</t>
  </si>
  <si>
    <t>G10</t>
  </si>
  <si>
    <t>MMV676588</t>
  </si>
  <si>
    <t>Nc1c2CCCCc2nc3sc4CCCCc4c13</t>
  </si>
  <si>
    <t>G11</t>
  </si>
  <si>
    <t>MMV676554</t>
  </si>
  <si>
    <t>COc1ccc(Nc2ccccc2NC(=O)c3ccc(O)nc3)cc1</t>
  </si>
  <si>
    <t>H02</t>
  </si>
  <si>
    <t>MMV688350</t>
  </si>
  <si>
    <t>COC(=O)c1ccc(F)cc1NS(=O)(=O)c2cccc(c2)c3cnn(Cc4ccccc4)c3</t>
  </si>
  <si>
    <t>H03</t>
  </si>
  <si>
    <t>MMV688360</t>
  </si>
  <si>
    <t>COc1ccc(cc1OCc2ccccn2)C3=NN(C4CCCCCC4)C(=O)C3(C)C</t>
  </si>
  <si>
    <t>H04</t>
  </si>
  <si>
    <t>MMV099637</t>
  </si>
  <si>
    <t>Cc1nn2c(O)c3CCCCc3nc2c1c4ccc(F)cc4</t>
  </si>
  <si>
    <t>H05</t>
  </si>
  <si>
    <t>MMV688798</t>
  </si>
  <si>
    <t>CS(=O)(=O)c1ccccc1C(=O)N(Cc2ccccc2)c3ccccc3</t>
  </si>
  <si>
    <t>H06</t>
  </si>
  <si>
    <t>MMV676539</t>
  </si>
  <si>
    <t>O=C(NCCc1c[nH]c2ccccc12)C3=Cc4ccccc4OC3=O</t>
  </si>
  <si>
    <t>H07</t>
  </si>
  <si>
    <t>MMV202458</t>
  </si>
  <si>
    <t>COc1ccc(OC(C)C(=O)Nc2ccc(Cl)cc2C)cc1</t>
  </si>
  <si>
    <t>H08</t>
  </si>
  <si>
    <t>MMV676474</t>
  </si>
  <si>
    <t>COc1ccccc1OCCCCn2c(nc3ccccc23)C4CC4</t>
  </si>
  <si>
    <t>H09</t>
  </si>
  <si>
    <t>MMV461553</t>
  </si>
  <si>
    <t>COC(=O)c1c2CCCCCc2sc1NC(=O)c3c(F)c(F)c(F)c(F)c3F</t>
  </si>
  <si>
    <t>H10</t>
  </si>
  <si>
    <t>MMV676520</t>
  </si>
  <si>
    <t>O=C(N1CCN(Cc2ccc3OCOc3c2)CC1)c4oc5ccccc5c4</t>
  </si>
  <si>
    <t>H11</t>
  </si>
  <si>
    <t>MMV676512</t>
  </si>
  <si>
    <t>O=C(Nc1nc(cs1)c2ccccn2)c3cncn3c4ccccc4</t>
  </si>
  <si>
    <t>PathogenBox_PlateB</t>
  </si>
  <si>
    <t>MMV676480</t>
  </si>
  <si>
    <t>COC(=O)c1c2CCN(Cc3ccccc3)Cc2sc1NC(=O)C4=Cc5ccccc5OC4=O</t>
  </si>
  <si>
    <t>MMV652003</t>
  </si>
  <si>
    <t>OB1OCc2ccc(NC(=O)c3ccccc3C(F)(F)F)cc12</t>
  </si>
  <si>
    <t>MMV000062</t>
  </si>
  <si>
    <t>NC(=N)c1ccc(OCCCCCOc2ccc(cc2)C(=N)N)cc1</t>
  </si>
  <si>
    <t>MMV006372</t>
  </si>
  <si>
    <t>CN(C)CCNc1ncnc2c3cc(C)ccc3[nH]c12</t>
  </si>
  <si>
    <t>MMV688854</t>
  </si>
  <si>
    <t>CCOc1ccc2cc(ccc2c1)c3nn(CC4CCN(C)CC4)c5ncnc(N)c35</t>
  </si>
  <si>
    <t>MMV011903</t>
  </si>
  <si>
    <t>Cc1ccc(NC(=O)c2nc[nH]c2C(=O)Nc3nc4ccccc4[nH]3)c(C)c1</t>
  </si>
  <si>
    <t>MMV020591</t>
  </si>
  <si>
    <t>CC(C)C(NC(=O)Cc1cccc2ccccc12)C(=O)Nc3cccc(c3)C#N</t>
  </si>
  <si>
    <t>MMV020623</t>
  </si>
  <si>
    <t>Cc1onc(C)c1C(=O)N2CCCC(C2)c3[nH]c4c(C)cccc4c3c5ccncc5</t>
  </si>
  <si>
    <t>MMV020512</t>
  </si>
  <si>
    <t>Cc1ccc(Oc2ccc(NC(=O)CNc3ccccc3N4CCCC4=O)cc2)cc1</t>
  </si>
  <si>
    <t>MMV688761</t>
  </si>
  <si>
    <t>CS(=O)(=O)c1ccc(cc1[N+](=O)[O-])C(=O)N(CC2CCCO2)c3nc4ccccc4s3</t>
  </si>
  <si>
    <t>MMV012074</t>
  </si>
  <si>
    <t>Cc1nc2ccccn2c1C(=O)NCc3ccc(Cl)cc3</t>
  </si>
  <si>
    <t>MMV676604</t>
  </si>
  <si>
    <t>CC(C)n1c(C)ncc1c2ccnc(Nc3ccc(cc3)S(=O)(=O)C)n2</t>
  </si>
  <si>
    <t>MMV002529</t>
  </si>
  <si>
    <t>O=C(C1CCCCC1)N2CC3N(CCc4ccccc34)C(=O)C2</t>
  </si>
  <si>
    <t>MMV687776</t>
  </si>
  <si>
    <t>Cc1cc(ccc1C(=O)NCc2ccc3B(O)OC(C)(C)c3c2)C4=NOC(C4)(c5cc(Cl)c(F)c(Cl)c5)C(F)(F)F</t>
  </si>
  <si>
    <t>MMV687800</t>
  </si>
  <si>
    <t>CC(C)N=C1C=C2N(c3ccc(Cl)cc3)c4ccccc4N=C2C=C1Nc5ccc(Cl)cc5</t>
  </si>
  <si>
    <t>Clofazimine</t>
  </si>
  <si>
    <t>MMV020982</t>
  </si>
  <si>
    <t>CC(C)(C)c1cc(cc(c1)C(=O)Nc2cccnc2)C(=O)Nc3cccnc3</t>
  </si>
  <si>
    <t>MMV020120</t>
  </si>
  <si>
    <t>CC1CC1C(=O)NC2CCN(CC3(CCCCC3)c4ccccc4)CC2</t>
  </si>
  <si>
    <t>MMV676605</t>
  </si>
  <si>
    <t>C[C@@]1(O)C[C@@H](C1)c2nc(c3ccc4ccc(nc4c3)c5ccccc5)c6c(N)nccn26</t>
  </si>
  <si>
    <t>MMV007638</t>
  </si>
  <si>
    <t>CCOc1ccc(cc1)c2nc(NC(=O)CS(=O)(=O)c3ccccc3)sc2C</t>
  </si>
  <si>
    <t>MMV021057</t>
  </si>
  <si>
    <t>CO\C=C(\C(=O)OC)/c1ccccc1Oc2cc(Oc3ccccc3C#N)ncn2</t>
  </si>
  <si>
    <t>MMV690027</t>
  </si>
  <si>
    <t>COC1=C(OCCCCOC2=CC=C(C3=NNN=N3)C=C2)C=C(C([C@@H]4[C@H]5CC=CC4)=NN(C6CCCCCC6)C5=O)C=C1</t>
  </si>
  <si>
    <t>MMV676600</t>
  </si>
  <si>
    <t>CO[C@@H](C(=O)N1Cc2[nH]nc(NC(=O)c3ccc(cc3)N4CCN(C)CC4)c2C1)c5ccccc5</t>
  </si>
  <si>
    <t>MMV676382</t>
  </si>
  <si>
    <t>Cn1ncc2c(nc(NCCc3c[nH]c4ccccc34)nc12)N1CCOCC1</t>
  </si>
  <si>
    <t>MMV001625</t>
  </si>
  <si>
    <t>NCCCC(N)(C(F)F)C(=O)O</t>
  </si>
  <si>
    <t>MMV001493</t>
  </si>
  <si>
    <t>COC(=O)C1=C(C)NC(=C(C1c2cccc3nonc23)C(=O)OC(C)C)C</t>
  </si>
  <si>
    <t>MMV020136</t>
  </si>
  <si>
    <t>CNC(=O)c1cc(cs1)S(=O)(=O)N2CCN(CC2)c3ccccn3</t>
  </si>
  <si>
    <t>MMV020710</t>
  </si>
  <si>
    <t>COc1ccc(Cl)cc1NC(=O)CN(C)C(=O)c2cnn(n2)c3ccccc3</t>
  </si>
  <si>
    <t>MMV020517</t>
  </si>
  <si>
    <t>COc1ccccc1CNC(=O)c2cc(nc3c2cnn3C(C)C)C4CC4</t>
  </si>
  <si>
    <t>MMV019721</t>
  </si>
  <si>
    <t>CCN(CC)S(=O)(=O)c1ccc(Cl)c(c1)C(=O)Nc2ccc3nc(C)sc3c2</t>
  </si>
  <si>
    <t>MMV688763</t>
  </si>
  <si>
    <t>CNc1nnc(SC2=C(Cl)C(=O)N(N=C2)c3ccccc3)s1</t>
  </si>
  <si>
    <t>MMV020537</t>
  </si>
  <si>
    <t>Clc1ccc2OCCN(c3ccc(s3)C(=O)NC4CC4)c2c1</t>
  </si>
  <si>
    <t>MMV637953</t>
  </si>
  <si>
    <t>Cc1ccc(cc1NC(=O)c2cccc(NC(=O)Nc3cccc(c3)C(=O)Nc4cc(ccc4C)C(=O)Nc5ccc(c6cc(cc(c56)S(=O)(=O)O)S(=O)(=O)O)S(=O)(=O)O)c2)C(=O)Nc7ccc(c8cc(cc(c78)S(=O)(=O)O)S(=O)(=O)O)S(=O)(=O)O</t>
  </si>
  <si>
    <t>MMV676536</t>
  </si>
  <si>
    <t>COCC(C)NC(=O)CSc1ncnc2sc(cc12)-c1ccccc1</t>
  </si>
  <si>
    <t>MMV000063</t>
  </si>
  <si>
    <t>CCN(CC)CCCCCCNc1cc(OC)cc2c(C)ccnc12</t>
  </si>
  <si>
    <t>MMV689255</t>
  </si>
  <si>
    <t>Nc1ncnc2c1ncn2C[C@@H](O)[C@@H](O)C(=O)O</t>
  </si>
  <si>
    <t>MMV019838</t>
  </si>
  <si>
    <t>FC(F)(F)c1cc(cc(c1)C(F)(F)F)C(=O)Nc2ccnc(n2)c3cccnc3</t>
  </si>
  <si>
    <t>MMV020520</t>
  </si>
  <si>
    <t>Cc1cc2ccccc2n1CC(=O)N3CC(Oc4ccccc34)C(=O)N5CCCCC5</t>
  </si>
  <si>
    <t>MMV019234</t>
  </si>
  <si>
    <t>COc1ccc(cc1OC)C2CC(=NN2C(=O)c3occc3)c4cccs4</t>
  </si>
  <si>
    <t>MMV016136</t>
  </si>
  <si>
    <t>Cc1cc(Nc2ccncc2)n3nc(C)c(c4ccccc4Cl)c3n1</t>
  </si>
  <si>
    <t>MMV688762</t>
  </si>
  <si>
    <t>C1CCN(C1)C(c2ccccn2)c3c([nH]c4ccccc34)c5ccccc5</t>
  </si>
  <si>
    <t>MMV676386</t>
  </si>
  <si>
    <t>Cc1cccc(Cn2ccc(NC(=O)c3ccc4OCOc4c3)n2)c1</t>
  </si>
  <si>
    <t>MMV688773</t>
  </si>
  <si>
    <t>[O-][N+](=O)c1nccn1CC(=O)NCc2ccccc2</t>
  </si>
  <si>
    <t>MMV000011</t>
  </si>
  <si>
    <t>C[C@@H]1[C@H]2[C@H](O)[C@H]3[C@H](N(C)C)C(=C(C(=O)N)C(=O)[C@@]3(O)C(=C2C(=O)c4c(O)cccc14)O)O</t>
  </si>
  <si>
    <t>MMV687775</t>
  </si>
  <si>
    <t>CC1(C)OB(O)c2ccc(cc12)C3=NOC(C3)(c4cc(Cl)c(F)c(Cl)c4)C(F)(F)F</t>
  </si>
  <si>
    <t>MMV002817</t>
  </si>
  <si>
    <t>Oc1c(I)cc(I)c2cccnc12</t>
  </si>
  <si>
    <t>MMV676442</t>
  </si>
  <si>
    <t>CC(C)c1ncc(c2ccncc2)c(n1)[C@@H]3CC[C@@H](CNC(=O)c4cccnc4)CC3</t>
  </si>
  <si>
    <t>MMV020152</t>
  </si>
  <si>
    <t>Cc1onc(c1)C(=O)Nc2ccc(cc2)c3ccccc3</t>
  </si>
  <si>
    <t>MMV024397</t>
  </si>
  <si>
    <t>O=C(NC1CC1)c2ccc(nc2)N3CCC(Cc4ccccc4)CC3</t>
  </si>
  <si>
    <t>MMV019807</t>
  </si>
  <si>
    <t>Cc1ccc2cc(C3NC(=O)c4ccccc4N3)c(Cl)nc2c1</t>
  </si>
  <si>
    <t>MMV560185</t>
  </si>
  <si>
    <t>C1CCN(CC1)c2cc(nc3ccccc23)c4ccccn4</t>
  </si>
  <si>
    <t>MMV019189</t>
  </si>
  <si>
    <t>Cc1ccc2c(NC(=O)C23NN=C(S3)c4ccccc4)c1C</t>
  </si>
  <si>
    <t>MMV688774</t>
  </si>
  <si>
    <t>CC[C@@H]([C@H](C)O)N1N=CN(C1=O)c2ccc(cc2)N3CCN(CC3)c4ccc(OC[C@@H]5CO[C@](Cn6cncn6)(C5)c7ccc(F)cc7F)cc4</t>
  </si>
  <si>
    <t xml:space="preserve">MMV003270 </t>
  </si>
  <si>
    <t>ClC1=CC(N=C(N)O2)=C2C=C1</t>
  </si>
  <si>
    <t>MMV637229</t>
  </si>
  <si>
    <t>ClC1=CC=C([C@@](C)(C2=CC=CC=C2)OCCC3N(C)CCC3)C=C1</t>
  </si>
  <si>
    <t>MMV688853</t>
  </si>
  <si>
    <t>CCOc1ccc2cc(cnc2c1)c3nn(c(N)c3C(=O)N)C(C)(C)C</t>
  </si>
  <si>
    <t>MMV020321</t>
  </si>
  <si>
    <t>COc1ccccc1C(C)NCC(=O)Nc2cc(ccc2Cl)C(F)(F)F</t>
  </si>
  <si>
    <t>MMV019087</t>
  </si>
  <si>
    <t>Cc1cc(C)n2nc(nc2n1)C(=O)Nc3cc(ccc3N4CCOCC4)C(F)(F)F</t>
  </si>
  <si>
    <t>MMV676528</t>
  </si>
  <si>
    <t>CN(c1ccc(F)cc1)S(=O)(=O)c2ccc(Cl)c(c2)C(=O)Nc3cccc(C)n3</t>
  </si>
  <si>
    <t>MMV020320</t>
  </si>
  <si>
    <t>Cc1oc(NC(=O)c2cn(nc2c3ccccc3C)c4ccccc4)nn1</t>
  </si>
  <si>
    <t>MMV085210</t>
  </si>
  <si>
    <t>Clc1ccc(cc1)S(=O)(=O)NC(Cc2c[nH]c3ccccc23)C(=O)N4CCCCC4</t>
  </si>
  <si>
    <t>MMV069458</t>
  </si>
  <si>
    <t>FC(F)(F)c1nnc2ccc(Cl)nn12</t>
  </si>
  <si>
    <t>MMV688991</t>
  </si>
  <si>
    <t>CC(=O)Oc1ccccc1C(=O)Nc2ncc(s2)[N+](=O)[O-]</t>
  </si>
  <si>
    <t>MMV687801</t>
  </si>
  <si>
    <t>CC[C@H](CO)NCCN[C@H](CC)CO</t>
  </si>
  <si>
    <t>MMV689480</t>
  </si>
  <si>
    <t>O=C1C(CC2CCC(C(C)(C)C)CC2)=C(C(C3=C1C=CC=C3)=O)O</t>
  </si>
  <si>
    <t>MMV003152</t>
  </si>
  <si>
    <t>COC(=O)Nc1nc2cc(ccc2[nH]1)C(=O)c3ccccc3</t>
  </si>
  <si>
    <t>MMV006239</t>
  </si>
  <si>
    <t>Brc1ccc2NC(=O)C3(NCCc4c3[nH]c5ccccc45)c2c1</t>
  </si>
  <si>
    <t>MMV000858</t>
  </si>
  <si>
    <t>Clc1ccc(cc1)S(=O)(=O)N2CCN(CC2)C(=S)NCc3occc3</t>
  </si>
  <si>
    <t xml:space="preserve">MMV006741 </t>
  </si>
  <si>
    <t>COc1cc2ncnc(NC3CCN(Cc4ccccc4)CC3)c2cc1OC</t>
  </si>
  <si>
    <t>MMV688768</t>
  </si>
  <si>
    <t>CN1CCN(CC1)C(c2cccs2)c3c(C)[nH]c4ccccc34</t>
  </si>
  <si>
    <t>MMV000023</t>
  </si>
  <si>
    <t>COc1cc(NC(C)CCCN)c2ncccc2c1</t>
  </si>
  <si>
    <t>MMV676602</t>
  </si>
  <si>
    <t>CNC(=O)c1nn(C)c2c3nc(Nc4ccc(cc4)N5CCN(C)CC5)ncc3CC(C)(C)c12</t>
  </si>
  <si>
    <t>MMV000014</t>
  </si>
  <si>
    <t>O[C@H]([C@H]1CCCCN1)c2cc(nc3c(cccc23)C(F)(F)F)C(F)(F)F</t>
  </si>
  <si>
    <t>Mefloquine</t>
  </si>
  <si>
    <t>MMV687803</t>
  </si>
  <si>
    <t>CC(=O)NC[C@@H]1CN(C(=O)O1)c2ccc(N3CCOCC3)c(F)c2</t>
  </si>
  <si>
    <t>MMV668727</t>
  </si>
  <si>
    <t>Nc1ncc(cc1c2ccc(nc2)C(F)(F)F)c3ccc(nc3)C(F)(F)F</t>
  </si>
  <si>
    <t>MMV019742</t>
  </si>
  <si>
    <t>Cc1ccc(cc1)S(=O)(=O)N2CCN(CC2)C(=O)c3cc([nH]n3)c4ccccc4</t>
  </si>
  <si>
    <t>MMV009054</t>
  </si>
  <si>
    <t>Cc1onc(c1)C(=O)Nc2cnn(Cc3ccc(Cl)cc3Cl)c2</t>
  </si>
  <si>
    <t>MMV006901</t>
  </si>
  <si>
    <t>CN(C)c1cc(NC(=O)Nc2ccccc2)c3ccccc3n1</t>
  </si>
  <si>
    <t>MMV020391</t>
  </si>
  <si>
    <t>CC(C)C(C(=O)Nc1ccc(cc1)S(=O)(=O)N(C)C)c2ccc(Cl)cc2</t>
  </si>
  <si>
    <t>MMV676380</t>
  </si>
  <si>
    <t>CC(=O)Nc1ccc(NC(=O)c2cc([nH]n2)c3cc(Cl)ccc3O)cc1</t>
  </si>
  <si>
    <t>MMV688994</t>
  </si>
  <si>
    <t>CNC1C(O)C(O)C(CO)OC1OC2C(OC3C(O)C(O)C(NC(=N)N)C(O)C3NC(=N)N)OC(C)C2(O)C=O</t>
  </si>
  <si>
    <t>PathogenBox_PlateC</t>
  </si>
  <si>
    <t>MMV675997</t>
  </si>
  <si>
    <t>Fc1ccc(cc1)N2CCN(CCCCN(CC#N)C(=O)OCc3ccccc3)CC2</t>
  </si>
  <si>
    <t>MMV676204</t>
  </si>
  <si>
    <t>Fc1ccc(cc1)C(=O)N(CCNc2ccccc2)c3ccccc3</t>
  </si>
  <si>
    <t>MMV687239</t>
  </si>
  <si>
    <t>CC(C)(C(=O)Nc1ccc(F)cc1)n2cc(cn2)c3ccccc3F</t>
  </si>
  <si>
    <t>MMV688122</t>
  </si>
  <si>
    <t>Cc1cccc(n1)c2nc(Nc3ccncn3)c4sccc4n2</t>
  </si>
  <si>
    <t>MMV688852</t>
  </si>
  <si>
    <t>CC(C)(C)n1nc(Cc2ccc(F)c(Cl)c2)c2c(N)ncnc12</t>
  </si>
  <si>
    <t>MMV687145</t>
  </si>
  <si>
    <t>CCCCS(=O)(=O)Nc1ccc2cnn(C)c2c1</t>
  </si>
  <si>
    <t>MMV688327</t>
  </si>
  <si>
    <t>CC(=O)NCC1CN(C(=O)O1)c2ccc(c(F)c2)c3ccc(CNCc4cn[nH]n4)cc3</t>
  </si>
  <si>
    <t>MMV008439</t>
  </si>
  <si>
    <t>COc1ccc(CN2CCOc3ccc(cc3C2)C(C)(O)CN(C)C)cc1C</t>
  </si>
  <si>
    <t>MMV595321</t>
  </si>
  <si>
    <t>CC1=C(C)C(NC(N2N=C(C)C=C2NC(C3=CC=C(S(=O)(N(CC)CC)=O)C=C3)=O)=N1)=O</t>
  </si>
  <si>
    <t>MMV687747</t>
  </si>
  <si>
    <t>Cc1cc(OCC(=O)NCc2ccccc2)c3cc(Br)ccc3n1</t>
  </si>
  <si>
    <t>MMV020388</t>
  </si>
  <si>
    <t>CC(Nc1cc(Cl)ccc1N2CCOCC2)C(=O)N3CCCC(C)C3</t>
  </si>
  <si>
    <t>MMV688547</t>
  </si>
  <si>
    <t>COc1ccc(cc1c2cn(nn2)c3cccc(c3)C4=NCCN4)C5=NCCN5</t>
  </si>
  <si>
    <t>MMV688466</t>
  </si>
  <si>
    <t>Cn1ccnc1CNCCS(=O)(=O)c2cccc(Nc3ccc(cn3)c4cccc(F)c4)c2</t>
  </si>
  <si>
    <t>MMV687749</t>
  </si>
  <si>
    <t>C([C@@H]1CN(CCN1)c2nccc(Oc3ccc(cc3)n4ccnc4)n2)c5ccccc5</t>
  </si>
  <si>
    <t>MMV688846</t>
  </si>
  <si>
    <t>Cc1ccccc1CN2CCC(O)(CC2)c3ccc(Cl)c(c3)C(F)(F)F</t>
  </si>
  <si>
    <t>MMV054312</t>
  </si>
  <si>
    <t>CC(=O)N1CCc2cc3nc(C)cc(C)c3cc12</t>
  </si>
  <si>
    <t>MMV689060</t>
  </si>
  <si>
    <t>Clc1ccc(CN2CCN(CC2)C3=NCCN3)cc1Cl</t>
  </si>
  <si>
    <t>MMV689061</t>
  </si>
  <si>
    <t>CC1=C(F)C=CC=C1CN2CCCC(CC3=NC(C4=CC=C(NC(C)=O)C=C4)=NO3)C2</t>
  </si>
  <si>
    <t>MMV689028</t>
  </si>
  <si>
    <t>O=C(N1CCN(CC2=CC=C(NS(=O)(C3=CC=C(C)C=C3)=O)C=C2)CC1)C4=CC(C#N)=CC=C4</t>
  </si>
  <si>
    <t>MMV688371</t>
  </si>
  <si>
    <t>NCCN(C(=O)c1ccc(Cl)cc1Cl)c2ccc(OCc3ccc(Cl)cc3)cc2</t>
  </si>
  <si>
    <t>MMV688508</t>
  </si>
  <si>
    <t>CC(=O)NCC1CN(C(=O)O1)c2ccc(c(F)c2)c3ccc(CO)cc3</t>
  </si>
  <si>
    <t>MMV688283</t>
  </si>
  <si>
    <t>CN1CCN(CC1)S(=O)(=O)c2ccc(cc2)c3ccc4c(Nc5ncc(Cl)cn5)ccnc4c3</t>
  </si>
  <si>
    <t>MMV687243</t>
  </si>
  <si>
    <t>NC(=O)c1cc(Br)ccc1OCCOc2ccccc2</t>
  </si>
  <si>
    <t>MMV687730</t>
  </si>
  <si>
    <t>CCCCOC(=O)Nc1cc2nc([nH]c2cc1N3CCCC3)C4CCCCC4</t>
  </si>
  <si>
    <t>MMV687251</t>
  </si>
  <si>
    <t>CN1C(=O)N(C)c2nsc(c2C1=O)S(=O)(=O)C</t>
  </si>
  <si>
    <t>MMV687254</t>
  </si>
  <si>
    <t>CCCCc1ccc(nc1)C(=O)Nc2nccc3ccccc23</t>
  </si>
  <si>
    <t>MMV688509</t>
  </si>
  <si>
    <t>Fc1ccc(cc1)-c1[nH]c(cc1-c1ccncc1)C1CCN(CC1)C(=O)OCc1ccccc1</t>
  </si>
  <si>
    <t>MMV688361</t>
  </si>
  <si>
    <t>C1CN=C(N1)c2ccc(cc2)c3cc(on3)c4cccc(c4)C5=NCCN5</t>
  </si>
  <si>
    <t>MMV689029</t>
  </si>
  <si>
    <t>O=C(N1CCN(CC2=CC=C(NS(=O)(C3=CC=C(OC)C=C3)=O)C=C2)CC1)C4=CC(C#N)=CC=C4</t>
  </si>
  <si>
    <t>MMV022236</t>
  </si>
  <si>
    <t>CCN(CC)CCCN1CCN(CC1)C(=O)c2cccc(c2)c3noc(n3)C(F)(F)F</t>
  </si>
  <si>
    <t>MMV688410</t>
  </si>
  <si>
    <t>CN(C)CC(=O)NCCN1C(c2ccccc2)c3cc(Cl)ccc3N=C1C</t>
  </si>
  <si>
    <t>MMV676048</t>
  </si>
  <si>
    <t>Clc1ccc(Cl)c(CO[C@H]2CCCC[C@@H]2n3ccnc3)c1</t>
  </si>
  <si>
    <t>MMV687703</t>
  </si>
  <si>
    <t>COc1cccc(n1)c2nc3c(cccc3n2CC4CCCN4)N5CCCC5</t>
  </si>
  <si>
    <t>MMV687248</t>
  </si>
  <si>
    <t>Nc1nc2ccc(cc2[nH]1)c3cncc(Oc4ccc(F)cc4)c3</t>
  </si>
  <si>
    <t>MMV688125</t>
  </si>
  <si>
    <t>CCCc1ccc(cc1)S(=O)(=O)Nc2ccc(CN3CCN(CC4CC4)CC3)cc2</t>
  </si>
  <si>
    <t>MMV687188</t>
  </si>
  <si>
    <t>COc1ccc2nc(C)cc(OCC(=O)Nc3ccccc3OC)c2c1</t>
  </si>
  <si>
    <t>MMV690103</t>
  </si>
  <si>
    <t>C[C@@H](N(C)c1ncc2c(N)nc(N)nc2n1)c3ccc4CCCCc4c3</t>
  </si>
  <si>
    <t>MMV688124</t>
  </si>
  <si>
    <t>CCc1ccc(cc1)S(=O)(=O)Nc2cc(CN3CCN(CCC(C)C)CC3)ccc2C</t>
  </si>
  <si>
    <t>MMV688845</t>
  </si>
  <si>
    <t>O=C(Nc1ccccc1N2CCOCC2)[C@@H](Cc3ccccc3)NC(=O)c4cccs4</t>
  </si>
  <si>
    <t>MMV1030799</t>
  </si>
  <si>
    <t>CCCn1c(NC(=O)c2ccc3ccccc3n2)nc4ccccc14</t>
  </si>
  <si>
    <t>MMV675994</t>
  </si>
  <si>
    <t>Clc1ccc(cc1)n2cc(COc3ccnc4ccccc34)nn2</t>
  </si>
  <si>
    <t>MMV676057</t>
  </si>
  <si>
    <t>CC(C)(C)OC(=O)N1CCN(CC1)c2cc(n[nH]2)c3ccc(Oc4ccccc4)cc3</t>
  </si>
  <si>
    <t>MMV687699</t>
  </si>
  <si>
    <t>FC(F)(F)c1nc2ccccn2c1C(=O)NCc3cc(Cl)cc(Cl)c3</t>
  </si>
  <si>
    <t>MMV687146</t>
  </si>
  <si>
    <t>Cc1cc(C)c2cc([nH]c2c1)C(=O)NC3CCCCCCC3</t>
  </si>
  <si>
    <t>MMV687696</t>
  </si>
  <si>
    <t>CCc1nc2ccc(Cl)cn2c1C(=O)NCc3ccc(cc3)N4CCC(CC4)c5ccc(OC(F)(F)F)cc5</t>
  </si>
  <si>
    <t>MMV687170</t>
  </si>
  <si>
    <t>COc1ccc(Cn2cnc3c(nc(Cl)nc23)c4occc4)cc1</t>
  </si>
  <si>
    <t>MMV690102</t>
  </si>
  <si>
    <t>COc1ccc(Oc2ccc(cc2)[C@@H](C)N(C)c3ncc4c(N)nc(N)nc4n3)cc1</t>
  </si>
  <si>
    <t>MMV689709</t>
  </si>
  <si>
    <t>O=C(N1CC(C2=CC(NC)=CC(C)=N2)OCC1)C3=NNC4=C3C=CC=C4</t>
  </si>
  <si>
    <t>MMV021375</t>
  </si>
  <si>
    <t>CC(C)CNc1cc(nc2c([nH]nc12)-c1ccccc1)C</t>
  </si>
  <si>
    <t>MMV1029203</t>
  </si>
  <si>
    <t>CNC(=O)CNc1nc(nc2scc(c3ccccc3)c12)c4ccccn4</t>
  </si>
  <si>
    <t>MMV676053</t>
  </si>
  <si>
    <t>COc1cc(NC(=O)CC2=NN(C)C(=O)c3ccccc23)ccc1Cl</t>
  </si>
  <si>
    <t>MMV688179</t>
  </si>
  <si>
    <t>NC(=N)Nc1ccc(c(Cl)c1)c2oc(cc2)c3ccc(NC(=N)N)cc3Cl</t>
  </si>
  <si>
    <t xml:space="preserve">MMV023969 </t>
  </si>
  <si>
    <t>C(Nc1cccnc1)c2ccc(s2)c3cc4ccncc4cc3OC5CCNCC5</t>
  </si>
  <si>
    <t>MMV687138</t>
  </si>
  <si>
    <t>NC(=O)c1cc(ccc1OCCOc2ccccc2)c3ccsc3</t>
  </si>
  <si>
    <t>MMV688262</t>
  </si>
  <si>
    <t>CC1(COc2ccc(cc2)N3CCC(CC3)Oc4ccc(OC(F)(F)F)cc4)Cn5cc(nc5O1)N(=O)=O</t>
  </si>
  <si>
    <t>MMV687189</t>
  </si>
  <si>
    <t>COc1ccc2nc(C)cc(OCC(=O)NCc3ccccc3)c2c1</t>
  </si>
  <si>
    <t>MMV687807</t>
  </si>
  <si>
    <t>Oc1ccc(Cl)cc1C(=O)Nc2ccc(c(c2)C(F)(F)F)C(F)(F)F</t>
  </si>
  <si>
    <t>MMV676478</t>
  </si>
  <si>
    <t>O=C(C1CCN(CC1)c2nnc(s2)n3cccc3)N4CCC(Cc5ccccc5)CC4</t>
  </si>
  <si>
    <t>MMV062221</t>
  </si>
  <si>
    <t>Cc1cc(C)nc(n1)n2nc(C)cc2Nc3ccccc3</t>
  </si>
  <si>
    <t>MMV688921</t>
  </si>
  <si>
    <t>OC[C@H]1O[C@H](C(O)[C@H]1O)n2c3ccc(Cl)cc3c4c(ncnc24)c5oc6ccccc6c5</t>
  </si>
  <si>
    <t>MMV676191</t>
  </si>
  <si>
    <t>CC(C)C(Oc1cccc2ccccc12)C(=O)O</t>
  </si>
  <si>
    <t>MMV675993</t>
  </si>
  <si>
    <t>COc1ccc(cc1OC)c2nn(C(C)C)c3ncnc(N)c23</t>
  </si>
  <si>
    <t>MMV021660</t>
  </si>
  <si>
    <t>Cc1cc(NCCc2ccccc2)nc(NC(=N)Nc3ccc(Cl)cc3)n1</t>
  </si>
  <si>
    <t>MMV688417</t>
  </si>
  <si>
    <t>CC(C)n1nc(-c2cc3c(Cl)cccc3[nH]2)c2c(N)ncnc12</t>
  </si>
  <si>
    <t>MMV687273</t>
  </si>
  <si>
    <t>CC(=CCC\C(=C/CNCCNC1C2CC3CC(CC1C3)C2)\C)C</t>
  </si>
  <si>
    <t>MMV687180</t>
  </si>
  <si>
    <t>CCc1ccc(cc1)[C@@H]2C[C@@H](n3ncc(C(=O)NCc4ccc(OC)cc4)c3N2)C(F)(F)F</t>
  </si>
  <si>
    <t>MMV1088520</t>
  </si>
  <si>
    <t>CC(C)N(Cc1ccccn1)Cc2csc(n2)c3oc(C)cc3</t>
  </si>
  <si>
    <t>MMV688891</t>
  </si>
  <si>
    <t>COc1cc(Br)cc2C=C(C(=O)Nc3cccc(c3)C(F)(F)F)C(=O)Oc12</t>
  </si>
  <si>
    <t>MMV023370</t>
  </si>
  <si>
    <t>Nc1ncc(cc1c2nc3cc(Cl)cnc3[nH]2)c4cn[nH]c4</t>
  </si>
  <si>
    <t>MMV688703</t>
  </si>
  <si>
    <t>CN1CCC(CC1)c1cc(c([nH]1)-c1ccc(F)cc1)-c1ccncc1</t>
  </si>
  <si>
    <t>MMV675969</t>
  </si>
  <si>
    <t>CC(C)(C)c1ccc(N[C@@H]2CCCC[C@H]2NC(=O)c3occc3)cc1</t>
  </si>
  <si>
    <t>MMV688313</t>
  </si>
  <si>
    <t>COc1ccc(cc1OC)-c1nnc2ccc(cn12)-c1cccc(c1)C(C)C</t>
  </si>
  <si>
    <t>MMV687172</t>
  </si>
  <si>
    <t>O=C(C1CCN(CC1)c2cc(ncn2)n3cccc3)N4CCc5ccccc5C4</t>
  </si>
  <si>
    <t>MMV688844</t>
  </si>
  <si>
    <t>COc1ccc2nccc(NC(=O)C3CCN(CCc4ccc(Cl)cc4)CC3)c2n1</t>
  </si>
  <si>
    <t>MMV1198433</t>
  </si>
  <si>
    <t>CC(C)c1ccc(NC(=O)COC2=CC(=C(C#N)C(=O)N2C)C)cc1</t>
  </si>
  <si>
    <t>MMV024311</t>
  </si>
  <si>
    <t>Cc1ccc2[nH]c(C3CCCNC3)c(c4ccncc4)c2c1</t>
  </si>
  <si>
    <t>MMV1019989</t>
  </si>
  <si>
    <t>CCc1ccc(cc1)C(NCc2nc(N)nc(n2)N(C)C)C(C)C</t>
  </si>
  <si>
    <t>MMV1037162</t>
  </si>
  <si>
    <t>CCNC(=O)C(C)Nc1nc(nc2sc(C)c(C)c12)c3cccnc3</t>
  </si>
  <si>
    <t>MMV689437</t>
  </si>
  <si>
    <t>CC(N(C)c1ncc2c(N)nc(N)nc2n1)c3cc(Cl)cc(Cl)c3</t>
  </si>
  <si>
    <t>MMV688955</t>
  </si>
  <si>
    <t>Cc1cc(NC(=O)c2ccc(Oc3ccc(Cl)cc3O)o2)no1</t>
  </si>
  <si>
    <t>PathogenBox_PlateD</t>
  </si>
  <si>
    <t>MMV026468</t>
  </si>
  <si>
    <t>OCc1ccc(cc1)c2cncc(Nc3cccc(Cl)c3)c2</t>
  </si>
  <si>
    <t>MMV020670</t>
  </si>
  <si>
    <t>COc1ccc(cc1)c2cncc3ccc(nc23)C(=O)NCCCn4ccnc4</t>
  </si>
  <si>
    <t>MMV023953</t>
  </si>
  <si>
    <t>O=C(Nc1cccc(c1)c2ccc(NCCCN3CCCC3)nc2)c4ccccc4</t>
  </si>
  <si>
    <t>MMV010576</t>
  </si>
  <si>
    <t>COc1cc(ccc1O)c2cc(cnc2N)c3ccc(cc3)S(=O)(=O)C</t>
  </si>
  <si>
    <t>MMV032967</t>
  </si>
  <si>
    <t>FC(F)(F)c1cccc(c1)c2nc3c(NCc4ccncc4)nccc3[nH]2</t>
  </si>
  <si>
    <t>MMV031011</t>
  </si>
  <si>
    <t>CNC(=O)C1Cc2c([nH]c3cc(Cl)ccc23)C4(CCN(CCc5ccccc5)CC4)N1</t>
  </si>
  <si>
    <t>MMV688178</t>
  </si>
  <si>
    <t>O(c1ccccc1)c1ccc(cc1)-c1cncc(n1)-c1ccc2[nH]ccc2c1</t>
  </si>
  <si>
    <t>MMV688362</t>
  </si>
  <si>
    <t>COc1cc(cc2cc(oc12)c3ccc(cc3)C4=NCCN4)C5=NCCN5</t>
  </si>
  <si>
    <t>MMV687706</t>
  </si>
  <si>
    <t>C1CN(CCN1)c2cc(n[nH]2)c3ccc(Oc4ccccc4)cc3</t>
  </si>
  <si>
    <t>MMV026356</t>
  </si>
  <si>
    <t>CCn1ncc2c(NC3CCOCC3)c(CNC(=O)c4ccnn4C)c(C)nc12</t>
  </si>
  <si>
    <t>MMV011511</t>
  </si>
  <si>
    <t>COc1ccc(CCN2CCC(CC2)NCc3cccc(c3)N(C)C)cc1</t>
  </si>
  <si>
    <t>MMV007625</t>
  </si>
  <si>
    <t>Cc1cc(C)n(n1)c2ccc(NC(=O)C3CCN(Cc4cnc(C)s4)CC3)cc2</t>
  </si>
  <si>
    <t>MMV007471</t>
  </si>
  <si>
    <t>COc1cc(OC)cc(c1)C(=O)NCC2Cc3cc(Cl)cc(c3O2)c4ccncc4</t>
  </si>
  <si>
    <t>MMV024829</t>
  </si>
  <si>
    <t>CC(C)CN1CCC(CC1)N(C)c2cc(NC(=O)c3cccc(C)c3)ccn2</t>
  </si>
  <si>
    <t>MMV045105</t>
  </si>
  <si>
    <t>C1CN(CCO1)c2cc(n[nH]2)c3ccc(Oc4ccccc4)cc3</t>
  </si>
  <si>
    <t>MMV022029</t>
  </si>
  <si>
    <t>CN1CCC(CC1)NCc2cccc(c2)c3ccc(cc3)S(=O)(=O)NCc4ccccc4</t>
  </si>
  <si>
    <t>MMV676064</t>
  </si>
  <si>
    <t>CC(=O)N(CCN(C(=O)c1ccc(F)cc1)c2ccccc2)c3ccccc3</t>
  </si>
  <si>
    <t>MMV688180</t>
  </si>
  <si>
    <t>Cc1nn(C)c(C)c1NS(=O)(=O)c2c(Cl)cc(cc2Cl)c3ccnc(c3)N4CCNCC4</t>
  </si>
  <si>
    <t>MMV024035</t>
  </si>
  <si>
    <t>O=C(Nc1ccccc1)c2ccc(s2)c3cc4ccncc4cc3OC5CCNCC5</t>
  </si>
  <si>
    <t>MMV688941</t>
  </si>
  <si>
    <t>COc1cc(CN2CCC3(CC2)C=Cc4ccccc34)cc5OCOc15</t>
  </si>
  <si>
    <t>MMV020291</t>
  </si>
  <si>
    <t>CC(N1CCN(CC1)S(=O)(=O)c2ccc(cc2)C(C)(C)C)C(=O)N3CCCC3</t>
  </si>
  <si>
    <t>MMV006833</t>
  </si>
  <si>
    <t>Cc1cc(Cl)c(cc1OCC(=O)NC2CCCCC2)S(=O)(=O)N3CCCC3</t>
  </si>
  <si>
    <t>MMV026490</t>
  </si>
  <si>
    <t>O=C(NCCc1ccccc1)c2cc(cnc2NCC3CC3)c4cccnc4</t>
  </si>
  <si>
    <t>MMV687246</t>
  </si>
  <si>
    <t>CN1CCN(CC1)S(=O)(=O)c2ccc(cc2)c3ccc4c(Nc5ccc6nn[nH]c6c5)ccnc4c3</t>
  </si>
  <si>
    <t>MMV676162</t>
  </si>
  <si>
    <t>OC(=O)c1cccc2oc(nc12)c3ccccc3NC(=O)c4ccccc4</t>
  </si>
  <si>
    <t>MMV024114</t>
  </si>
  <si>
    <t>Cc1ccc(cc1)S(=O)(=O)n2cc(c3ccnc(N)c3)c4cc(Br)cnc24</t>
  </si>
  <si>
    <t>MMV688467</t>
  </si>
  <si>
    <t>CCCCN(CCCC)c1c(cc(cc1C#N)S(=O)(=O)Nc2ccccc2)C#N</t>
  </si>
  <si>
    <t>MMV675998</t>
  </si>
  <si>
    <t>COc1ccc(cc1c2cn(nn2)c3ccc(cc3)C(=N)N)C(=N)N</t>
  </si>
  <si>
    <t>MMV659010</t>
  </si>
  <si>
    <t>FC(F)(F)c1cc(NCCc2ccccc2)nc(n1)c3ccccn3</t>
  </si>
  <si>
    <t>MMV676008</t>
  </si>
  <si>
    <t>OC(=O)c1cccc2oc(nc12)c3cccc(O)c3NC(=O)c4cc(on4)c5ccccc5</t>
  </si>
  <si>
    <t>MMV676269</t>
  </si>
  <si>
    <t>C[C@@H](N1CCCC[C@H]1c2ccc(OCc3cccc(F)c3)cc2)C(=O)N</t>
  </si>
  <si>
    <t>MMV020081</t>
  </si>
  <si>
    <t>COc1cccc(CC(=O)N2CCC(CC2)n3c(C)nc4ccc(F)cc34)c1</t>
  </si>
  <si>
    <t>MMV026550</t>
  </si>
  <si>
    <t>CC(C)(C)CN1C(=NC(C1=O)(c2ccccc2)c3ccccc3)N</t>
  </si>
  <si>
    <t>MMV675995</t>
  </si>
  <si>
    <t>COc1ccc(cc1)N(CCc2cccc(C)n2)C(=O)C</t>
  </si>
  <si>
    <t>MMV688274</t>
  </si>
  <si>
    <t>Fc1cccc(COc2ccc(Nc3ncnc4ccc(NC(=O)CN5CCOCC5)cc34)cc2Cl)c1</t>
  </si>
  <si>
    <t>MMV023860</t>
  </si>
  <si>
    <t>NS(=O)(=O)c1cccc(c1)c2ccc3ncc(nc3c2)N4CCOCC4</t>
  </si>
  <si>
    <t>MMV688407</t>
  </si>
  <si>
    <t>COc1cc(ccc1c2cn(nn2)c3cccc(c3)C4=NCCN4)C5=NCCN5</t>
  </si>
  <si>
    <t>MMV023949</t>
  </si>
  <si>
    <t>CC(C)(C)c1cc(C(=O)N2CCN(CC2)c3nccnc3C#N)n(Cc4ccccc4)n1</t>
  </si>
  <si>
    <t>MMV676050</t>
  </si>
  <si>
    <t>CS(=O)(=O)N1CCC(Cn2nc(Cc3cccc4ccccc34)c5c(N)ncnc25)CC1</t>
  </si>
  <si>
    <t>MMV024406</t>
  </si>
  <si>
    <t>Clc1cccc(NC(=O)c2cnc(N3CCN(CC3)c4ccncc4)c(Cl)c2)c1</t>
  </si>
  <si>
    <t>MMV023233</t>
  </si>
  <si>
    <t>Nc1nccc2ccc(cc12)c3ccc4nccn4c3</t>
  </si>
  <si>
    <t>MMV085230</t>
  </si>
  <si>
    <t>CCCNC(=O)N1CCC2(CC1)CC(=O)c3cc(C)ccc3O2</t>
  </si>
  <si>
    <t>MMV085071</t>
  </si>
  <si>
    <t>COc1cncc(c1)c2cncc(n2)N3CCN(CC3)c4ccncc4</t>
  </si>
  <si>
    <t>MMV659004</t>
  </si>
  <si>
    <t>Cc1nc(nc(N2CCC(Cc3ccccc3)C2)c1Cl)c4ccccn4</t>
  </si>
  <si>
    <t>MMV676260</t>
  </si>
  <si>
    <t>CN1CCN(CC1)c2nccc3nc([nH]c23)c4ccc(F)c(F)c4</t>
  </si>
  <si>
    <t>MMV688364</t>
  </si>
  <si>
    <t>CC(C)(C)OC(=O)N1CCC(Cn2nc(-c3cnc4ccccc4c3)c3c(N)ncnc23)CC1</t>
  </si>
  <si>
    <t>MMV032995</t>
  </si>
  <si>
    <t>FC(F)(F)c1ccc(CN2C(=O)COCc3ccc(Br)cc23)cc1</t>
  </si>
  <si>
    <t>MMV688279</t>
  </si>
  <si>
    <t>CC1=Nc2ccc(Cl)cc2C(O)(N1CCN3CCCCC3)c4ccc(C)cc4</t>
  </si>
  <si>
    <t>MMV688271</t>
  </si>
  <si>
    <t>NC(=N)Nc1ccc(cc1Cl)c2oc(cc2)c3ccc(N=C(N)N)c(Cl)c3</t>
  </si>
  <si>
    <t>MMV019790</t>
  </si>
  <si>
    <t>CCOc1ccccc1C(=O)Nc2cccc(c2)c3nc4ncccn4c3C</t>
  </si>
  <si>
    <t>MMV009135</t>
  </si>
  <si>
    <t>O=C(C1CCN(CC1)c2nnnn2c3ccccc3)N4CCc5ccccc5C4</t>
  </si>
  <si>
    <t>MMV011765</t>
  </si>
  <si>
    <t>FC(F)(F)c1cnc(Sc2oc(nn2)c3ccncc3)c(Cl)c1</t>
  </si>
  <si>
    <t>MMV024937</t>
  </si>
  <si>
    <t>FC(F)(F)c1nc(oc1C(=O)Nc2ccc(nc2)N3CCNCC3)c4ccccc4</t>
  </si>
  <si>
    <t>MMV085499</t>
  </si>
  <si>
    <t>NC(=O)c1ccc(cc1)c2nc(cnc2N)c3ccc(cc3)C#N</t>
  </si>
  <si>
    <t>MMV023985</t>
  </si>
  <si>
    <t>COc1ccc(cc1OC)c2cnc3ccc(nn23)N4CCCC4</t>
  </si>
  <si>
    <t>MMV024195</t>
  </si>
  <si>
    <t>CN(C)CCNC(=O)N1CCCN(CC1)c2ncnc3cc(sc23)c4ccccc4</t>
  </si>
  <si>
    <t>MMV676063</t>
  </si>
  <si>
    <t>CCCCc1ccc(NC(=O)Nc2ccc(O[C@H]3CCCC[C@@H]3N(C)c4ccccc4)c(F)c2)cc1</t>
  </si>
  <si>
    <t>MMV676186</t>
  </si>
  <si>
    <t>COC(=O)c1cccc2oc(nc12)c3cccc(OC)c3NC(=O)c4cc(on4)c5ccccc5</t>
  </si>
  <si>
    <t>MMV688474</t>
  </si>
  <si>
    <t>COc1cc(ccc1n2cc(nn2)c3cccc(c3)C4=NCCN4)C5=NCCN5</t>
  </si>
  <si>
    <t>MMV687812</t>
  </si>
  <si>
    <t>CN1CCN(CCCOc2ncc(Nc3ncc(nc3C(=O)N)c4ccc(c(F)c4)C(F)(F)F)cn2)CC1</t>
  </si>
  <si>
    <t>MMV007803</t>
  </si>
  <si>
    <t>Clc1ccccc1CSCc2oc(cc2)C(=O)NC3CC3</t>
  </si>
  <si>
    <t>MMV001059</t>
  </si>
  <si>
    <t>CCCS(=O)(=O)N1CCC(CO)(Cc2ccccc2C(F)(F)F)CC1</t>
  </si>
  <si>
    <t>MMV011691</t>
  </si>
  <si>
    <t>NCC(=O)N1CCn2c(C1)nc(c2Nc3ccc4OCOc4c3)c5ccccc5</t>
  </si>
  <si>
    <t>MMV676877</t>
  </si>
  <si>
    <t>OCCNc1ccc(cc1)C(=O)C2C[C@H]2c3ccc(Cl)cc3</t>
  </si>
  <si>
    <t>MMV663250</t>
  </si>
  <si>
    <t>Clc1cccc(c1)C(c2ccc(CN3CCNCC3)cc2)n4ccnc4</t>
  </si>
  <si>
    <t>MMV407539</t>
  </si>
  <si>
    <t>CCc1nc2ccc(cn2c1N(C)Cc3cccs3)C(=O)NCc4ccc5OCOc5c4</t>
  </si>
  <si>
    <t>MMV688372</t>
  </si>
  <si>
    <t>FC1=C(C=C(NC(=O)N2CCCC2)C=C1)C1=NC2=CC(=CN=C2N1)C1=CC=CC=C1</t>
  </si>
  <si>
    <t>MMV658993</t>
  </si>
  <si>
    <t>Cc1nc(nc(NCCc2ccc(cc2)S(=O)(=O)C)c1Cl)c3ccccn3</t>
  </si>
  <si>
    <t>MMV676182</t>
  </si>
  <si>
    <t>Nc1ncnc2c1c(Cc3cccc4ccccc34)nn2CC5CCNCC5</t>
  </si>
  <si>
    <t>MMV676411</t>
  </si>
  <si>
    <t>CC(Oc1ccccc1)C(=O)Nc2nc(cs2)c3ccccn3</t>
  </si>
  <si>
    <t>MMV007133</t>
  </si>
  <si>
    <t>CC(C)N(Cc1ccccc1)S(=O)(=O)c2ccc(cc2)C(=O)Nc3cc(C)on3</t>
  </si>
  <si>
    <t>MMV022478</t>
  </si>
  <si>
    <t>Clc1cccc(c1)c2cnn3ccc(nc23)C(=O)Nc4ccc(cc4)N5CCNCC5</t>
  </si>
  <si>
    <t>MMV024101</t>
  </si>
  <si>
    <t>NS(=O)(=O)c1cncc(c1)c2ccc3nccc(c4cn[nH]c4)c3n2</t>
  </si>
  <si>
    <t>MMV676881</t>
  </si>
  <si>
    <t>CCn1cnc2c(Nc3cc(F)cc(F)c3)nc(nc12)C#N</t>
  </si>
  <si>
    <t>MMV024443</t>
  </si>
  <si>
    <t>CN(C(=O)c1cc2c(cccc2[nH]1)c3cncnc3)c4ccccc4</t>
  </si>
  <si>
    <t>MMV688469</t>
  </si>
  <si>
    <t>Nc1ncnc2[nH]nc(Cc3cccc4ccccc34)c12</t>
  </si>
  <si>
    <t>MMV023388</t>
  </si>
  <si>
    <t>FC(F)(F)c1cccc(c1)C(=O)NC2CCN(C2)c3ccnc4ccccc34</t>
  </si>
  <si>
    <t>MMV675968</t>
  </si>
  <si>
    <t>COc1ccc(OC)c(NCc2ccc3nc(N)nc(N)c3c2Cl)c1</t>
  </si>
  <si>
    <t>MMV675996</t>
  </si>
  <si>
    <t>COc1ccc(cc1)N(CCc2cccc(C)n2)C(=O)C3CCCCC3</t>
  </si>
  <si>
    <t>MMV688980</t>
  </si>
  <si>
    <t>CCC1=CC(=O)N(C)C(=N1)SC(C)C(=O)Nc2ccc(F)cc2</t>
  </si>
  <si>
    <t>PathogenBox_PlateE</t>
  </si>
  <si>
    <t>MMV011229</t>
  </si>
  <si>
    <t>CC1=NC2=NC=CN2C(NC3=CC=C(C(F)(F)F)C=C3)=C1</t>
  </si>
  <si>
    <t>MMV676468</t>
  </si>
  <si>
    <t>NC(CC(=O)c1ccc(Cl)cc1Cl)C(Cl)(Cl)Cl</t>
  </si>
  <si>
    <t>MMV688771</t>
  </si>
  <si>
    <t>Cc1ccccc1C(=O)N2N=C(Nc3ccccc3)SC2(C)C</t>
  </si>
  <si>
    <t>MMV687798</t>
  </si>
  <si>
    <t>C[C@H]1COc2c(N3CCN(C)CC3)c(F)cc4C(=O)C(=CN1c24)C(=O)O</t>
  </si>
  <si>
    <t>MMV688775</t>
  </si>
  <si>
    <t>CO[C@H]1\C=C\O[C@@]2(C)OC3=C(C2=O)C4=C(O)\C(=C/NN5CCN(C)CC5)\C(=N\C(=O)\C(=C/C=C\[C@H](C)[C@H](O)[C@@H](C)[C@@H](O)[C@@H](C)[C@H](OC(=O)C)[C@@H]1C)\C)\C(=C4C(=C3C)O)O</t>
  </si>
  <si>
    <t>MMV676159</t>
  </si>
  <si>
    <t>Clc1cccc(CO[C@H]2CCc3ccccc3[C@@H]2n4ccnn4)c1</t>
  </si>
  <si>
    <t>MMV393144</t>
  </si>
  <si>
    <t>CN1CCN(CC1)c2nccc3[nH]c(cc23)c4cccc(F)c4</t>
  </si>
  <si>
    <t xml:space="preserve">MMV007920 </t>
  </si>
  <si>
    <t>Nc1ccc(cc1)C(=O)Nc2ccc(cc2)c3oc4ccccc4n3</t>
  </si>
  <si>
    <t>MMV688270</t>
  </si>
  <si>
    <t>COc1ccc(cc1)-c1cnc2cnc(cn12)-c1cccc(OC(C)C)c1</t>
  </si>
  <si>
    <t>MMV019993</t>
  </si>
  <si>
    <t>CC(Nc1nncc(n1)c2ccc(cc2)C(F)(F)F)c3cn(C)nc3C</t>
  </si>
  <si>
    <t>MMV687794</t>
  </si>
  <si>
    <t>CC1(C)Cc2c(CO1)c(nc3snc(Br)c23)N4CCOCC4</t>
  </si>
  <si>
    <t>MMV676470</t>
  </si>
  <si>
    <t>CCOc1ccc(OCC(=O)Nc2cc(C)cc(C)c2)cc1</t>
  </si>
  <si>
    <t>MMV688938</t>
  </si>
  <si>
    <t>CCOc1ccc(cc1)c2nc(CNCCc3ccc(F)cc3)cs2</t>
  </si>
  <si>
    <t>MMV689000</t>
  </si>
  <si>
    <t>C[C@@H]1OC(=O)C[C@H](O)C[C@H](O)CC[C@@H](O)[C@H](O)C[C@H](O)C[C@]2(O)C[C@H](O)[C@H]([C@H](C[C@@H](O[C@@H]3O[C@H](C)[C@@H](O)[C@H](N)[C@@H]3O)\C=C\C=C\C=C\C=C\C=C\C=C\C=C\[C@H](C)[C@@H](O)[C@H]1C)O2)C(=O)O</t>
  </si>
  <si>
    <t>MMV004168</t>
  </si>
  <si>
    <t>CN1CCCN(CC1)C(c2ccccc2)c3ccc(Cl)cc3</t>
  </si>
  <si>
    <t>MMV676161</t>
  </si>
  <si>
    <t>C(N1CCOCC1)c2cc(n[nH]2)c3ccc(Oc4ccccc4)cc3</t>
  </si>
  <si>
    <t>MMV023183</t>
  </si>
  <si>
    <t>C(C1CC1)N2Cc3ccccc3OC4(CCN(Cc5c[nH]c6cnccc56)CC4)C2</t>
  </si>
  <si>
    <t>MMV047015</t>
  </si>
  <si>
    <t>COc1cc(nc2ccc(C)c(N)c12)C(F)(F)F</t>
  </si>
  <si>
    <t>MMV688795</t>
  </si>
  <si>
    <t>O=C(NCCc1ccn(n1)c2ccccc2)C3CCCCC3</t>
  </si>
  <si>
    <t>MMV688352</t>
  </si>
  <si>
    <t>Clc1ccc(cc1)[C@@H]2[C@H](Oc3ccccc3)C(=O)N2CCn4cnc5c(NCc6ccccc6)ncnc45</t>
  </si>
  <si>
    <t>MMV676398</t>
  </si>
  <si>
    <t>CCS(=O)(=O)N(Cc1occc1)Cc2cc3ccc(C)cc3nc2O</t>
  </si>
  <si>
    <t>MMV676472</t>
  </si>
  <si>
    <t>COc1cccc(OC)c1C(=O)Nc2ccc(Cl)c(c2)c3nc4ccccc4s3</t>
  </si>
  <si>
    <t>MMV671636</t>
  </si>
  <si>
    <t>CC1=C(C(=O)c2c(F)cc(F)cc2N1)c3ccc(Oc4ccc(OC(F)(F)F)cc4)cc3</t>
  </si>
  <si>
    <t>MMV676599</t>
  </si>
  <si>
    <t>CC(C)(C)n1nc(Cc2cccc3ccccc23)c4c(N)ncnc14</t>
  </si>
  <si>
    <t>MMV689244</t>
  </si>
  <si>
    <t>FC(F)(F)c1ccc(cc1)N2CCN(CC2)C(=O)[C@@H](c3ccc(Cl)cc3)c4cccnc4</t>
  </si>
  <si>
    <t>MMV688411</t>
  </si>
  <si>
    <t>Nc1ncnc2n(CC3CCNCC3)nc(-c3cnc4ccccc4c3)c12</t>
  </si>
  <si>
    <t>MMV687765</t>
  </si>
  <si>
    <t>Cc1cnc(nc1Oc2ccc(cc2)n3ccnc3)N4CCN[C@@H](Cc5ccccc5)C4</t>
  </si>
  <si>
    <t>MMV020165</t>
  </si>
  <si>
    <t>CC(C)NCC(=O)Nc1cccc(c1)C(=O)Nc2cccc(c2)C(F)(F)F</t>
  </si>
  <si>
    <t>MMV676524</t>
  </si>
  <si>
    <t>Nc1cccnc1Nc2ccc(Cl)cc2</t>
  </si>
  <si>
    <t>MMV611037</t>
  </si>
  <si>
    <t>CCC(Sc1oc2ccccc2n1)C(=O)Nc3nnc(C)s3</t>
  </si>
  <si>
    <t>MMV688766</t>
  </si>
  <si>
    <t>COc1ccc(c(O)c1)c2onc(c2c3ccc(Cl)cc3)C(F)(F)F</t>
  </si>
  <si>
    <t>MMV200748</t>
  </si>
  <si>
    <t>COc1ccc(cc1)C2(CCCC2)C(=O)Nc3ccc(Br)cc3</t>
  </si>
  <si>
    <t>MMV667494</t>
  </si>
  <si>
    <t>FC1(F)CCN(CCCCNc2cc(c3cc(ccc3n2)Cl)C(=O)NCCN2CCCC2)CC1</t>
  </si>
  <si>
    <t>MMV028694</t>
  </si>
  <si>
    <t>OCCc1ccc(Nc2nccc(n2)c3nnc4ccccn34)cc1</t>
  </si>
  <si>
    <t>MMV001499</t>
  </si>
  <si>
    <t>CC1CS(=O)(=O)CCN1\N=C\c2oc(cc2)[N+](=O)[O-]</t>
  </si>
  <si>
    <t>MMV688345</t>
  </si>
  <si>
    <t>Nc1nc(N)c2c3CCN(Cc4ccccc4)Cc3sc2n1</t>
  </si>
  <si>
    <t>MMV010545</t>
  </si>
  <si>
    <t>COc1ccc(cn1)c2cnc3ccc(NCc4ccc(cc4)S(=O)(=O)N)nn23</t>
  </si>
  <si>
    <t>MMV023227</t>
  </si>
  <si>
    <t>Cc1nc([nH]c1C)c2cccc(NCc3ccccc3)c2</t>
  </si>
  <si>
    <t>MMV687700</t>
  </si>
  <si>
    <t>Nc1ncnc2c1ncn2[C@@H]3O[C@H](COS(=O)(=O)NC(=O)c4ccccc4O)[C@@H](O)[C@H]3O</t>
  </si>
  <si>
    <t>MMV676384</t>
  </si>
  <si>
    <t>Fc1ccccc1c2oc(NCCc3ccccc3)c(n2)C#N</t>
  </si>
  <si>
    <t>MMV020289</t>
  </si>
  <si>
    <t>Cc1ccc(NC(=O)c2cc(ccc2C)S(=O)(=O)NC(C)(C)C)nc1</t>
  </si>
  <si>
    <t>MMV002816</t>
  </si>
  <si>
    <t>CCN(CC)C(=O)N1CCN(C)CC1</t>
  </si>
  <si>
    <t>MMV634140</t>
  </si>
  <si>
    <t>Clc1ccc2nc(cc(c2c1)C(=O)NCCN1CCCC1)NCCN1CCOCC1</t>
  </si>
  <si>
    <t>MMV030734</t>
  </si>
  <si>
    <t>CC(C)(CN)c1nc(c2ccc(Cl)c(O)c2)c([nH]1)c3ccnc(N)n3</t>
  </si>
  <si>
    <t>MMV689243</t>
  </si>
  <si>
    <t>FC(F)(F)c1ccc(cc1)N(C2CCN(CC2)c3ccc(cn3)C(F)(F)F)c4cccnc4</t>
  </si>
  <si>
    <t>MMV676358</t>
  </si>
  <si>
    <t>Nc1ncc(Br)cc1c2nc3cc(Cl)cnc3[nH]2</t>
  </si>
  <si>
    <t>MMV687729</t>
  </si>
  <si>
    <t>OC[C@H]1CN(C(=O)O1)c2cc(F)c(C3=CCN(Cc4ccccc4)CC3)c(F)c2</t>
  </si>
  <si>
    <t>MMV407834</t>
  </si>
  <si>
    <t>CCOc1ccccc1NC(C)C(=O)Nc2cc(ccc2N3CCOCC3)C(F)(F)F</t>
  </si>
  <si>
    <t>MMV687813</t>
  </si>
  <si>
    <t>Fc1cc(cc(F)c1C2=CCN(Cc3ccccc3)CC2)N4C[C@H](COc5ccon5)OC4=O</t>
  </si>
  <si>
    <t>MMV153413</t>
  </si>
  <si>
    <t>CCOC(=O)c1c(C)c(sc1NC(=O)c2c(F)c(F)c(F)c(F)c2F)C(=O)N</t>
  </si>
  <si>
    <t>MMV019551</t>
  </si>
  <si>
    <t>CCC(NC(=O)c1ccccc1NC(=O)c2ccc(C)cc2)C(=O)OC</t>
  </si>
  <si>
    <t>MMV688552</t>
  </si>
  <si>
    <t>CC(C(SC1=NC=CC=N1)=C2C)=NN2C(NC3=CC=CC(C(F)(F)F)=C3)=O</t>
  </si>
  <si>
    <t>MMV016838</t>
  </si>
  <si>
    <t>Cc1ccc(cc1)-c1cc(c2cc(ccc2n1)Br)C(=O)Nc1cccnc1</t>
  </si>
  <si>
    <t>MMV676270</t>
  </si>
  <si>
    <t>C[C@@H](N1CCCC[C@@H]1c2ccc(OCc3cccc(F)c3)cc2)C(=O)N</t>
  </si>
  <si>
    <t>MMV688755</t>
  </si>
  <si>
    <t>[O-][N+](=O)c1cn2C[C@@H](COc2n1)OCc3ccc(OC(F)(F)F)cc3</t>
  </si>
  <si>
    <t>MMV228911</t>
  </si>
  <si>
    <t>COc1cccc(NC(=O)c2c3CCCc3sc2NC(=O)c4cccnc4)c1</t>
  </si>
  <si>
    <t>MMV272144</t>
  </si>
  <si>
    <t>COc1cccc(c1)n2nnnc2S(=O)(=O)C</t>
  </si>
  <si>
    <t>MMV026313</t>
  </si>
  <si>
    <t>Nc1nccc2ccc(Oc3ccncc3)cc12</t>
  </si>
  <si>
    <t>MMV161996</t>
  </si>
  <si>
    <t>CC(C)CNS(=O)(=O)c1ccc(CCC(=O)Nc2ccc(Cl)cc2C)cc1</t>
  </si>
  <si>
    <t>MMV688543</t>
  </si>
  <si>
    <t>CC(C)(C)C(=O)N(CCCCCCN1C[C@H](O)[C@@H](O)[C@H](O)[C@H]1CO)C2CCCCCC2</t>
  </si>
  <si>
    <t>MMV146306</t>
  </si>
  <si>
    <t>CCC(C)NC(=O)c1ccc(NC(=O)C2(CCCC2)c3ccccc3)cc1</t>
  </si>
  <si>
    <t>MMV688557</t>
  </si>
  <si>
    <t>NCC(c1cccs1)S(=O)(=O)c2ccccc2</t>
  </si>
  <si>
    <t>MMV021013</t>
  </si>
  <si>
    <t>C1CCC(CC1)Nc2cc(nc(n2)c3ccccn3)C4CC4</t>
  </si>
  <si>
    <t>MMV392832</t>
  </si>
  <si>
    <t>COc1cccc(c1)c2cc3c(Nc4cccnc4)nccc3[nH]2</t>
  </si>
  <si>
    <t>MMV688754</t>
  </si>
  <si>
    <t>CO\N=C(/C(=O)OC)\c1ccccc1CO\N=C(/C)\c2cccc(c2)C(F)(F)F</t>
  </si>
  <si>
    <t>MMV001561</t>
  </si>
  <si>
    <t>CNCCC(Oc1ccc(cc1)C(F)(F)F)c2ccccc2</t>
  </si>
  <si>
    <t>MMV658988</t>
  </si>
  <si>
    <t>CN(CCc1ccccc1)c2nc(nc(C)c2Cl)c3ccccn3</t>
  </si>
  <si>
    <t>MMV084864</t>
  </si>
  <si>
    <t>O=C(Nc1cnc2ccccc2c1)c3cccc(c3)n4cnnn4</t>
  </si>
  <si>
    <t>MMV676492</t>
  </si>
  <si>
    <t>Sc1nnc(NC(=O)c2cc(Br)ccc2Cl)s1</t>
  </si>
  <si>
    <t>MMV688415</t>
  </si>
  <si>
    <t>CO[C@@H]1CN(C[C@H]1O)c2ccc(C#CC3(O)CN4CCC3CC4)c(Cc5ccccc5)n2</t>
  </si>
  <si>
    <t>MMV688330</t>
  </si>
  <si>
    <t>CC(=O)N1CCN(CC1)c1ccc(Oc2ccc(Cl)cc2O)cc1</t>
  </si>
  <si>
    <t>MMV687796</t>
  </si>
  <si>
    <t>NCCC(O)C(=O)N[C@@H]1C[C@H](N)[C@@H](OC2O[C@H](CN)[C@@H](O)[C@H](O)[C@H]2O)[C@H](O)C1OC3O[C@H](CO)[C@@H](O)[C@H](N)[C@H]3O</t>
  </si>
  <si>
    <t>MMV688939</t>
  </si>
  <si>
    <t>Cc1ccc2nc(C)c(c3ccn(Cc4ccccc4)n3)n2c1</t>
  </si>
  <si>
    <t>MMV688978</t>
  </si>
  <si>
    <t>CCP(=[Au]S[C@H]1O[C@@H](COC(=O)C)[C@H](OC(=O)C)[C@@H](OC(=O)C)[C@@H]1OC(=O)C)(CC)CC</t>
  </si>
  <si>
    <t>MMV688990</t>
  </si>
  <si>
    <t>CCCCCCCCCCCCCCCCOP(=O)([O-])OCC[N+](C)(C)C</t>
  </si>
  <si>
    <t>MMV688273</t>
  </si>
  <si>
    <t>Nc1ccc2ncnc(Nc3ccc(OCc4cccc(F)c4)c(Cl)c3)c2c1</t>
  </si>
  <si>
    <t>MMV393995</t>
  </si>
  <si>
    <t>Cc1cc(O)nc(n1)n2nc(C)cc2C</t>
  </si>
  <si>
    <t>MMV1236379</t>
  </si>
  <si>
    <t>CCOC(=O)c1noc(N)c1c2ccccc2</t>
  </si>
  <si>
    <t>MMV688550</t>
  </si>
  <si>
    <t>CCc1ccccc1n2c(C)cn3c4C(=O)N(C(C(C)C)C(=O)OC)C(=O)N(C)c4nc23</t>
  </si>
  <si>
    <t>MMV495543</t>
  </si>
  <si>
    <t>CC(C)(C)c1cnc(NC(=O)c2ccccc2O)s1</t>
  </si>
  <si>
    <t>RULES applied</t>
  </si>
  <si>
    <t>A UCSD score of ≥2 is a hit</t>
  </si>
  <si>
    <t>Venn diagramm</t>
  </si>
  <si>
    <t>Venn diagramms</t>
  </si>
  <si>
    <t>24h</t>
  </si>
  <si>
    <t>U</t>
  </si>
  <si>
    <t>S</t>
  </si>
  <si>
    <t>U+S</t>
  </si>
  <si>
    <t>sum</t>
  </si>
  <si>
    <t>48h</t>
  </si>
  <si>
    <t># actives</t>
  </si>
  <si>
    <t># inactives</t>
  </si>
  <si>
    <t xml:space="preserve">A FIOCRUZ hit is ≤50% viabilitiy </t>
  </si>
  <si>
    <t>% actives</t>
  </si>
  <si>
    <t>% inactives</t>
  </si>
  <si>
    <t>72h</t>
  </si>
  <si>
    <t>Disease Set</t>
  </si>
  <si>
    <t>Trivial Name</t>
  </si>
  <si>
    <t>SCHISTOSOMIASIS</t>
  </si>
  <si>
    <t>TUBERCULOSIS</t>
  </si>
  <si>
    <t>REFERENCE COMPOUNDS</t>
  </si>
  <si>
    <t>MALARIA</t>
  </si>
  <si>
    <t>KINETOPLASTIDS</t>
  </si>
  <si>
    <t>TOXOPLASMOSIS</t>
  </si>
  <si>
    <t>TRICHURIASIS</t>
  </si>
  <si>
    <t>Clemastine</t>
  </si>
  <si>
    <t>DENGUE</t>
  </si>
  <si>
    <t>Auranofin</t>
  </si>
  <si>
    <t>ONCHOCERCIASIS</t>
  </si>
  <si>
    <t>LYMPHATIC FILARIASIS</t>
  </si>
  <si>
    <t>Praziquantel</t>
  </si>
  <si>
    <t>Posaconazole</t>
  </si>
  <si>
    <t>Nitazoxanide</t>
  </si>
  <si>
    <t>Iodoquinol</t>
  </si>
  <si>
    <t>HOOKWORM</t>
  </si>
  <si>
    <t>Zoxazolamine</t>
  </si>
  <si>
    <t>Tolfenpyrad</t>
  </si>
  <si>
    <t>Difenoconazol</t>
  </si>
  <si>
    <t>Fluoxetine</t>
  </si>
  <si>
    <t>Buparvaquone</t>
  </si>
  <si>
    <t>WOLBACHIA LF</t>
  </si>
  <si>
    <t>CRYPTOSPORIDIOSIS</t>
  </si>
  <si>
    <t>Nifurtimox</t>
  </si>
  <si>
    <t>Sitamaquine</t>
  </si>
  <si>
    <t>Isradipine</t>
  </si>
  <si>
    <t>D-Eritadenine</t>
  </si>
  <si>
    <t>Primaquine</t>
  </si>
  <si>
    <t>Mebendazole</t>
  </si>
  <si>
    <t>Levofloxacin (-)-ofloxacin</t>
  </si>
  <si>
    <t>Suramin</t>
  </si>
  <si>
    <t>Diethylcarbamazine</t>
  </si>
  <si>
    <t>Ethambutol</t>
  </si>
  <si>
    <t>Azoxystrobin</t>
  </si>
  <si>
    <t>Pentamidine</t>
  </si>
  <si>
    <t>Miltefosine</t>
  </si>
  <si>
    <t>alpha-Difluoromethylornithine</t>
  </si>
  <si>
    <t>Benznidazole</t>
  </si>
  <si>
    <t>Trifloxystrobin</t>
  </si>
  <si>
    <t>Bitertanol</t>
  </si>
  <si>
    <t>Doxycycline</t>
  </si>
  <si>
    <t>Amikacin</t>
  </si>
  <si>
    <t>Linezolid</t>
  </si>
  <si>
    <t>Rifampicin</t>
  </si>
  <si>
    <t>Streptomycin</t>
  </si>
  <si>
    <t>Amphotericin B</t>
  </si>
  <si>
    <t>Delamanid</t>
  </si>
  <si>
    <t>Radezolid</t>
  </si>
  <si>
    <t>Sutezolid</t>
  </si>
  <si>
    <t>A STPH score of ≥ 0.5 is a hit</t>
  </si>
  <si>
    <t>UCSD</t>
  </si>
  <si>
    <t>STPH</t>
  </si>
  <si>
    <t>Smiles</t>
  </si>
  <si>
    <t>MMV ID</t>
  </si>
  <si>
    <t>Cytotoxicity data</t>
  </si>
  <si>
    <t>Analogues</t>
  </si>
  <si>
    <t>Larva IC50 (μM)</t>
  </si>
  <si>
    <t>Juveniles IC50 (μM)</t>
  </si>
  <si>
    <t>Adults IC50 (μM)</t>
  </si>
  <si>
    <t>Plate B</t>
  </si>
  <si>
    <t>active</t>
  </si>
  <si>
    <t>x</t>
  </si>
  <si>
    <t>inactive</t>
  </si>
  <si>
    <t>&gt;80</t>
  </si>
  <si>
    <t>Plate D</t>
  </si>
  <si>
    <t>Plate C</t>
  </si>
  <si>
    <t>Plate E</t>
  </si>
  <si>
    <t>&gt;50</t>
  </si>
  <si>
    <t>&gt;20</t>
  </si>
  <si>
    <t>85% cell death at 15 μM</t>
  </si>
  <si>
    <t>UCSD 24</t>
  </si>
  <si>
    <t>UCSD 48</t>
  </si>
  <si>
    <t>UCSD 72</t>
  </si>
  <si>
    <t>UCSD  scores</t>
  </si>
  <si>
    <t xml:space="preserve"> 24 h</t>
  </si>
  <si>
    <t xml:space="preserve"> 48 h</t>
  </si>
  <si>
    <t xml:space="preserve"> 72h</t>
  </si>
  <si>
    <t xml:space="preserve">REFERENCE </t>
  </si>
  <si>
    <r>
      <rPr>
        <u/>
        <sz val="11"/>
        <color theme="1"/>
        <rFont val="Arial"/>
        <family val="2"/>
      </rPr>
      <t>Note</t>
    </r>
    <r>
      <rPr>
        <sz val="11"/>
        <color theme="1"/>
        <rFont val="Arial"/>
        <family val="2"/>
      </rPr>
      <t>: empty cell = "not tested"</t>
    </r>
  </si>
  <si>
    <r>
      <t xml:space="preserve"> MRC5 CC50 (μM)</t>
    </r>
    <r>
      <rPr>
        <vertAlign val="superscript"/>
        <sz val="10"/>
        <color theme="1"/>
        <rFont val="Arial"/>
        <family val="2"/>
      </rPr>
      <t>a</t>
    </r>
  </si>
  <si>
    <r>
      <rPr>
        <b/>
        <sz val="10"/>
        <color indexed="8"/>
        <rFont val="Arial"/>
        <family val="2"/>
      </rPr>
      <t>Adults:</t>
    </r>
    <r>
      <rPr>
        <sz val="10"/>
        <color indexed="8"/>
        <rFont val="Arial"/>
        <family val="2"/>
      </rPr>
      <t xml:space="preserve"> Effect at 10 μM after 48h</t>
    </r>
  </si>
  <si>
    <r>
      <t>CHO CC50 (μM)</t>
    </r>
    <r>
      <rPr>
        <vertAlign val="superscript"/>
        <sz val="10"/>
        <color theme="1"/>
        <rFont val="Arial"/>
        <family val="2"/>
      </rPr>
      <t>d</t>
    </r>
  </si>
  <si>
    <r>
      <t>HepG2CC20 (μM)</t>
    </r>
    <r>
      <rPr>
        <vertAlign val="superscript"/>
        <sz val="10"/>
        <color theme="1"/>
        <rFont val="Arial"/>
        <family val="2"/>
      </rPr>
      <t>e</t>
    </r>
  </si>
  <si>
    <t>Hash</t>
  </si>
  <si>
    <t>StructureStringLength</t>
  </si>
  <si>
    <t>StructureStringFormat</t>
  </si>
  <si>
    <t>StructureString</t>
  </si>
  <si>
    <t>2046B2D6BA070AEAC9B6AF140C1CAF47</t>
  </si>
  <si>
    <t>cxsmiles</t>
  </si>
  <si>
    <t>JChemExcelPQAAAB+LCAAAAAAABADtvQdgHEmWJSYvbcp7f0r1StfgdKEIgGATJNiQQBDswYjN5pLsHWlHIymrKoHKZVZlXWYWQMztnbz33nvvvffee++997o7nU4n99//P1xmZAFs9s5K2smeIYCqyB8/fnwfPyJOXm999uUd/H+6O51Ot6bT3e+9+OT7+OB7X25//84JfnuxdXKyd3Jy8uXenem95XR/ime/uff/AIS0XHo9AAAA</t>
  </si>
  <si>
    <t>341B3B527B04392326187DBF16A14A97</t>
  </si>
  <si>
    <t>JChemExcelJQAAAB+LCAAAAAAABADtvQdgHEmWJSYvbcp7f0r1StfgdKEIgGATJNiQQBDswYjN5pLsHWlHIymrKoHKZVZlXWYWQMztnbz33nvvvffee++997o7nU4n99//P1xmZAFs9s5K2smeIYCqyB8/fnwfPyJOvpzuTunZmu7eWe4tl8vp3uutz768g/+fTO/hq+m9/weDlVgYJQAAAA==</t>
  </si>
  <si>
    <t>D66E8EABCBA5A80993234476D5F3A269</t>
  </si>
  <si>
    <t>JChemExcelKAAAAB+LCAAAAAAABADtvQdgHEmWJSYvbcp7f0r1StfgdKEIgGATJNiQQBDswYjN5pLsHWlHIymrKoHKZVZlXWYWQMztnbz33nvvvffee++997o7nU4n99//P1xmZAFs9s5K2smeIYCqyB8/fnwfPyJOXkx3l8vp1uuTvc9Otk7KOydbn31558XWi89O9u5M703x3LvT7P4/Yvgi6SgAAAA=</t>
  </si>
  <si>
    <t>6EA3D4F351E7179277314EA872EED8AA</t>
  </si>
  <si>
    <t>JChemExcelNQAAAB+LCAAAAAAABADtvQdgHEmWJSYvbcp7f0r1StfgdKEIgGATJNiQQBDswYjN5pLsHWlHIymrKoHKZVZlXWYWQMztnbz33nvvvffee++997o7nU4n99//P1xmZAFs9s5K2smeIYCqyB8/fnwfPyJOTr482frsyzvT3enWyZ3pVjPdfSEf7E23nt0J/r/37A5/9eL/AZdugm01AAAA</t>
  </si>
  <si>
    <t>00C036FB60E235721D33BDD45443F9D1</t>
  </si>
  <si>
    <t>JChemExcelLgAAAB+LCAAAAAAABADtvQdgHEmWJSYvbcp7f0r1StfgdKEIgGATJNiQQBDswYjN5pLsHWlHIymrKoHKZVZlXWYWQMztnbz33nvvvffee++997o7nU4n99//P1xmZAFs9s5K2smeIYCqyB8/fnwfPyJOdk9OXmyd7N452ZruTelZ7t2Z3ptufW/57e9P9/HB9N7+nel9/u3+/wNu3cIBLgAAAA==</t>
  </si>
  <si>
    <t>A6F6C84EEEE0293861F691BECC2C98AA</t>
  </si>
  <si>
    <t>JChemExcelLQAAAB+LCAAAAAAABADtvQdgHEmWJSYvbcp7f0r1StfgdKEIgGATJNiQQBDswYjN5pLsHWlHIymrKoHKZVZlXWYWQMztnbz33nvvvffee++997o7nU4n99//P1xmZAFs9s5K2smeIYCqyB8/fnwfPyKenWw9u0P/m+5O6dma7t452frsyzsvpnvVdGu53LszvYfPT8o70+m9/wcZHVKtLQAAAA==</t>
  </si>
  <si>
    <t>D37813404F6E21338DC7CA39314EE8AE</t>
  </si>
  <si>
    <t>JChemExcelIwAAAB+LCAAAAAAABADtvQdgHEmWJSYvbcp7f0r1StfgdKEIgGATJNiQQBDswYjN5pLsHWlHIymrKoHKZVZlXWYWQMztnbz33nvvvffee++997o7nU4n99//P1xmZAFs9s5K2smeIYCqyB8/fnwfPyJOXuyebH325Z0XWyd3pnvLZro13TvZpQ9e41P8/+T/AR7OeWIjAAAA</t>
  </si>
  <si>
    <t>DDCC36729A6EB3C967922C8C548F8138</t>
  </si>
  <si>
    <t>JChemExcelHQAAAB+LCAAAAAAABADtvQdgHEmWJSYvbcp7f0r1StfgdKEIgGATJNiQQBDswYjN5pLsHWlHIymrKoHKZVZlXWYWQMztnbz33nvvvffee++997o7nU4n99//P1xmZAFs9s5K2smeIYCqyB8/fnwfPyJOvpzuTunZmu7eWe4tl8vp3uutz768g/+f/D+9ijWhHQAAAA==</t>
  </si>
  <si>
    <t>E1BFC9F973F712E099681F0C0CBD1047</t>
  </si>
  <si>
    <t>JChemExcelNgAAAB+LCAAAAAAABADtvQdgHEmWJSYvbcp7f0r1StfgdKEIgGATJNiQQBDswYjN5pLsHWlHIymrKoHKZVZlXWYWQMztnbz33nvvvffee++997o7nU4n99//P1xmZAFs9s5K2smeIYCqyB8/fnwfPyK+/N7J7/nt72/xv7sn9LzYvTPdm063ltN7060pPXv37pxsPbtD/3tmf/l/ADrPRdk2AAAA</t>
  </si>
  <si>
    <t>B1EB1F680A748F0D0FE2945F0C853E14</t>
  </si>
  <si>
    <t>JChemExcelMAAAAB+LCAAAAAAABADtvQdgHEmWJSYvbcp7f0r1StfgdKEIgGATJNiQQBDswYjN5pLsHWlHIymrKoHKZVZlXWYWQMztnbz33nvvvffee++997o7nU4n99//P1xmZAFs9s5K2smeIYCqyB8/fnwfPyJOvjzZ+uzLO9Pd6d4JnuleM919IZ/dm249uxP8/96z/wf6jd8hMAAAAA==</t>
  </si>
  <si>
    <t>767AB14C344B644080F8D645CF913839</t>
  </si>
  <si>
    <t>JChemExcelMgAAAB+LCAAAAAAABADtvQdgHEmWJSYvbcp7f0r1StfgdKEIgGATJNiQQBDswYjN5pLsHWlHIymrKoHKZVZlXWYWQMztnbz33nvvvffee++997o7nU4n99//P1xmZAFs9s5K2smeIYCqyB8/fnwfPyJOyunulJ6tFydbn315Z7o3XdLv905OXmydnNy7M92f0gfT/TvTrZOSvr0z3f1/AKKEiM4yAAAA</t>
  </si>
  <si>
    <t>81EAD6ADE94282B499A4A44069497DEF</t>
  </si>
  <si>
    <t>JChemExcelKAAAAB+LCAAAAAAABADtvQdgHEmWJSYvbcp7f0r1StfgdKEIgGATJNiQQBDswYjN5pLsHWlHIymrKoHKZVZlXWYWQMztnbz33nvvvffee++997o7nU4n99//P1xmZAFs9s5K2smeIYCqyB8/fnwfPyJOXuyenLzYOjnZvXOyNd2bTqfN3p3pvenWyZ3vLb/9/en+FM+9/f8Huj+mkSgAAAA=</t>
  </si>
  <si>
    <t>BC0965B423ABD946E593D69AE26FB166</t>
  </si>
  <si>
    <t>JChemExcelIAAAAB+LCAAAAAAABADtvQdgHEmWJSYvbcp7f0r1StfgdKEIgGATJNiQQBDswYjN5pLsHWlHIymrKoHKZVZlXWYWQMztnbz33nvvvffee++997o7nU4n99//P1xmZAFs9s5K2smeIYCqyB8/fnwfPyJOTk62Xk93q+neFM/ecvfOydZnX955Mb23nE6be/8PazIugyAAAAA=</t>
  </si>
  <si>
    <t>367654BEFB2805969FB5711C9DC9861A</t>
  </si>
  <si>
    <t>JChemExcelKwAAAB+LCAAAAAAABADtvQdgHEmWJSYvbcp7f0r1StfgdKEIgGATJNiQQBDswYjN5pLsHWlHIymrKoHKZVZlXWYWQMztnbz33nvvvffee++997o7nU4n99//P1xmZAFs9s5K2smeIYCqyB8/fnwfPyJOprvT6daLk5Pp3hTP3p0l/tz67MWdF9N79MHWSXlnOr13Z7n7/wDmn9F/KwAAAA==</t>
  </si>
  <si>
    <t>65F4B3CCA9027A747D0B37EC57E5DD29</t>
  </si>
  <si>
    <t>JChemExcelKQAAAB+LCAAAAAAABADtvQdgHEmWJSYvbcp7f0r1StfgdKEIgGATJNiQQBDswYjN5pLsHWlHIymrKoHKZVZlXWYWQMztnbz33nvvvffee++997o7nU4n99//P1xmZAFs9s5K2smeIYCqyB8/fnwfPyJOTrY+Ozk5+X3x4+7JixP63+7J3snJPfrihH69d+dk787ve3Ln5P8BI13NaCkAAAA=</t>
  </si>
  <si>
    <t>1EF9BBA8525E6B10F72DAF6417E4BA11</t>
  </si>
  <si>
    <t>JChemExcelQwAAAB+LCAAAAAAABADtvQdgHEmWJSYvbcp7f0r1StfgdKEIgGATJNiQQBDswYjN5pLsHWlHIymrKoHKZVZlXWYWQMztnbz33nvvvffee++997o7nU4n99//P1xmZAFs9s5K2smeIYCqyB8/fnwfPyJOvpzuLqd70+l060l9Z4rfdr938nv+nt/+/tb03hTPvTv4+/tbX97ZOjl5sXVy5+TOdB9f3Oev9+//P3XaYIZDAAAA</t>
  </si>
  <si>
    <t>4E6F686E231A309E695522894D330AA2</t>
  </si>
  <si>
    <t>JChemExcelOQAAAB+LCAAAAAAABADtvQdgHEmWJSYvbcp7f0r1StfgdKEIgGATJNiQQBDswYjN5pLsHWlHIymrKoHKZVZlXWYWQMztnbz33nvvvffee++997o7nU4n99//P1xmZAFs9s5K2smeIYCqyB8/fnwfPyJOTrZO7rz47GT35LOTvRdb03vT6XTrpLwznd67M92f4tmnr/fo690X0/v22/v/D+8z9wY5AAAA</t>
  </si>
  <si>
    <t>E55AAA9D2E4835F63BBEE27281E32AE1</t>
  </si>
  <si>
    <t>JChemExcelMwAAAB+LCAAAAAAABADtvQdgHEmWJSYvbcp7f0r1StfgdKEIgGATJNiQQBDswYjN5pLsHWlHIymrKoHKZVZlXWYWQMztnbz33nvvvffee++997o7nU4n99//P1xmZAFs9s5K2smeIYCqyB8/fnwfPyJOyunulJ6t6e6d6d50ubyHP5bTvXt3TrY++/LOi+k+fzvdv/Pi/snJi5OT+/8PrVSx8TMAAAA=</t>
  </si>
  <si>
    <t>B54EE9E02FE7340F7EACDFDD49F3D48D</t>
  </si>
  <si>
    <t>JChemExcelNQAAAB+LCAAAAAAABADtvQdgHEmWJSYvbcp7f0r1StfgdKEIgGATJNiQQBDswYjN5pLsHWlHIymrKoHKZVZlXWYWQMztnbz33nvvvffee++997o7nU4n99//P1xmZAFs9s5K2smeIYCqyB8/fnwfPyJOprvT5XRrOd39cro3nU63ptO9O8t7U/rw3p0X+ycnL7538nv+nt/+/tbJ9P4Uz/07J/v/D3CuYio1AAAA</t>
  </si>
  <si>
    <t>54028EA177110D4E678F3EB8A4519B51</t>
  </si>
  <si>
    <t>JChemExcelLQAAAB+LCAAAAAAABADtvQdgHEmWJSYvbcp7f0r1StfgdKEIgGATJNiQQBDswYjN5pLsHWlHIymrKoHKZVZlXWYWQMztnbz33nvvvffee++997o7nU4n99//P1xmZAFs9s5K2smeIYCqyB8/fnwfPyJOTk52PzvZOrnzgv59Qb9/eWe5t5zSB9Pp3ouTLfp7em+K597rk/8H/S5HMy0AAAA=</t>
  </si>
  <si>
    <t>DCCBDC36297571296FCE33906E41AF21</t>
  </si>
  <si>
    <t>JChemExcelNAAAAB+LCAAAAAAABADtvQdgHEmWJSYvbcp7f0r1StfgdKEIgGATJNiQQBDswYjN5pLsHWlHIymrKoHKZVZlXWYWQMztnbz33nvvvffee++997o7nU4n99//P1xmZAFs9s5K2smeIYCqyB8/fnwfPyJOXuyenJxsnZzs3nlxMt2b0rM13bszvce/TO/deb312Zd38H/6eh9fT/f/Hz+3rdA0AAAA</t>
  </si>
  <si>
    <t>0B3309337DFA8FEA0A9C25D874FD4AC8</t>
  </si>
  <si>
    <t>JChemExcelPwAAAB+LCAAAAAAABADtvQdgHEmWJSYvbcp7f0r1StfgdKEIgGATJNiQQBDswYjN5pLsHWlHIymrKoHKZVZlXWYWQMztnbz33nvvvffee++997o7nU4n99//P1xmZAFs9s5K2smeIYCqyB8/fnwfPyJOXuyenLzYOjk5+XK6t5xOt15M7+HHcnrvZOuzL++8uDPdn9Lf061n9NudE/pB/6Pfl3t3Tk52/x9c7D4SPwAAAA==</t>
  </si>
  <si>
    <t>29B017F4AA0172EEB7394BB6B718EC37</t>
  </si>
  <si>
    <t>JChemExcelLwAAAB+LCAAAAAAABADtvQdgHEmWJSYvbcp7f0r1StfgdKEIgGATJNiQQBDswYjN5pLsHWlHIymrKoHKZVZlXWYWQMztnbz33nvvvffee++997o7nU4n99//P1xmZAFs9s5K2smeIYCqyB8/fnwfPyK+nO5Op9Otk/LOdLp7svXZl3deTPfwCf23d+dk69kd+t8z+8v/A7LP2YsvAAAA</t>
  </si>
  <si>
    <t>0B1F50BA5976540D2CDC674DE7A972EE</t>
  </si>
  <si>
    <t>JChemExcelMgAAAB+LCAAAAAAABADtvQdgHEmWJSYvbcp7f0r1StfgdKEIgGATJNiQQBDswYjN5pLsHWlHIymrKoHKZVZlXWYWQMztnbz33nvvvffee++997o7nU4n99//P1xmZAFs9s5K2smeIYCqyB8/fnwfPyJOTrZO7tD/tz778s6L6e50Ot2aTnfvvMbf/Bm+vjPdwxcn5Z3pdO//AZq2gr0yAAAA</t>
  </si>
  <si>
    <t>B9AA83F38D768107A3D5533DD194FDAE</t>
  </si>
  <si>
    <t>JChemExcelMQAAAB+LCAAAAAAABADtvQdgHEmWJSYvbcp7f0r1StfgdKEIgGATJNiQQBDswYjN5pLsHWlHIymrKoHKZVZlXWYWQMztnbz33nvvvffee++997o7nU4n99//P1xmZAFs9s5K2smeIYCqyB8/fnwfPyK+3JruTvHs3uFftvDbNv26pN+X8ut0uve95be/j5/T3f8Hj0nfUzEAAAA=</t>
  </si>
  <si>
    <t>E4D9F5356C58710D946F1F60DCA9F7B2</t>
  </si>
  <si>
    <t>JChemExcelKwAAAB+LCAAAAAAABADtvQdgHEmWJSYvbcp7f0r1StfgdKEIgGATJNiQQBDswYjN5pLsHWlHIymrKoHKZVZlXWYWQMztnbz33nvvvffee++997o7nU4n99//P1xmZAFs9s5K2smeIYCqyB8/fnwfPyKe1NPd6XI63Zru3pnu0c8XJycny3tT+uzeneV0a7l3Z7o/xbP//wB4HpPfKwAAAA==</t>
  </si>
  <si>
    <t>D77E063C0F4D6589E2A7107E78BFA8FD</t>
  </si>
  <si>
    <t>JChemExcelJQAAAB+LCAAAAAAABADtvQdgHEmWJSYvbcp7f0r1StfgdKEIgGATJNiQQBDswYjN5pLsHWlHIymrKoHKZVZlXWYWQMztnbz33nvvvffee++997o7nU4n99//P1xmZAFs9s5K2smeIYCqyB8/fnwfPyJOXmydnEx3p3h270z3ltMt+t8J/XZS3pnew8fLe/8PyqJNxSUAAAA=</t>
  </si>
  <si>
    <t>A89733268445CD464F8522CD0C26873E</t>
  </si>
  <si>
    <t>JChemExcelLAAAAB+LCAAAAAAABADtvQdgHEmWJSYvbcp7f0r1StfgdKEIgGATJNiQQBDswYjN5pLsHWlHIymrKoHKZVZlXWYWQMztnbz33nvvvffee++997o7nU4n99//P1xmZAFs9s5K2smeIYCqyB8/fnwfPyJOTrZO7ix3l9Ot7enedHpvunVS3pnSc+97y29/f+8Ofbj14s5yupzu7v0/01QVuywAAAA=</t>
  </si>
  <si>
    <t>19CCB94615BC4B9591CE044AFB17E704</t>
  </si>
  <si>
    <t>JChemExcelLQAAAB+LCAAAAAAABADtvQdgHEmWJSYvbcp7f0r1StfgdKEIgGATJNiQQBDswYjN5pLsHWlHIymrKoHKZVZlXWYWQMztnbz33nvvvffee++997o7nU4n99//P1xmZAFs9s5K2smeIYCqyB8/fnwfPyJOlrvL6XRvurWcbr04OZnem35v+e3vT/eneO7t31lOd/fuvNg9Ofny5GT3/wGtSJ/8LQAAAA==</t>
  </si>
  <si>
    <t>4EDC7E4CD0809D592734395F51647161</t>
  </si>
  <si>
    <t>JChemExcelMQAAAB+LCAAAAAAABADtvQdgHEmWJSYvbcp7f0r1StfgdKEIgGATJNiQQBDswYjN5pLsHWlHIymrKoHKZVZlXWYWQMztnbz33nvvvffee++997o7nU4n99//P1xmZAFs9s5K2smeIYCqyB8/fnwfPyJOypPdz05OPjvZ+t7J7/l7fn/r5M7WyR5/QP/bu/PlycnJvRf0KX7eoY92/x9HkupZMQAAAA==</t>
  </si>
  <si>
    <t>2AFBA3AD08B1AA5162E246FB0BE8B806</t>
  </si>
  <si>
    <t>JChemExcelKQAAAB+LCAAAAAAABADtvQdgHEmWJSYvbcp7f0r1StfgdKEIgGATJNiQQBDswYjN5pLsHWlHIymrKoHKZVZlXWYWQMztnbz33nvvvffee++997o7nU4n99//P1xmZAFs9s5K2smeIYCqyB8/fnwfPyJOyunudDrdmk5377ze+uzLO/j/dK+abi2neyc//uLO9N4Uz73/B0TcInIpAAAA</t>
  </si>
  <si>
    <t>C7F11EDAEB754882EF49CC014B86BFD2</t>
  </si>
  <si>
    <t>JChemExcelIwAAAB+LCAAAAAAABADtvQdgHEmWJSYvbcp7f0r1StfgdKEIgGATJNiQQBDswYjN5pLsHWlHIymrKoHKZVZlXWYWQMztnbz33nvvvffee++997o7nU4n99//P1xmZAFs9s5K2smeIYCqyB8/fnwfPyJOprtTeraWu3eme8vp1ovpvel0OV3euzPdb+iL/eXe/wPeNBy2IwAAAA==</t>
  </si>
  <si>
    <t>726E79442ACA2BD058657DBCE9A2C7D3</t>
  </si>
  <si>
    <t>JChemExcelOAAAAB+LCAAAAAAABADtvQdgHEmWJSYvbcp7f0r1StfgdKEIgGATJNiQQBDswYjN5pLsHWlHIymrKoHKZVZlXWYWQMztnbz33nvvvffee++997o7nU4n99//P1xmZAFs9s5K2smeIYCqyB8/fnwfPyJOvpzuTqfTrS+ne/gxne7d+d7J7/l7fvv7Wyd3XtD/p/eW0+n+dOvFnaX8s7+8d2c63f1/AF7buno4AAAA</t>
  </si>
  <si>
    <t>0A9D6800D962BE4BDEA2E152BAE70CBC</t>
  </si>
  <si>
    <t>JChemExcelLAAAAB+LCAAAAAAABADtvQdgHEmWJSYvbcp7f0r1StfgdKEIgGATJNiQQBDswYjN5pLsHWlHIymrKoHKZVZlXWYWQMztnbz33nvvvffee++997o7nU4n99//P1xmZAFs9s5K2smeIYCqyB8/fnwfPyJOtl5Md6fT6XK6e2e6R79sNXt3pvem0318hn/vfXly/+TkxcnJ/f8H2+ov8CwAAAA=</t>
  </si>
  <si>
    <t>C5ED1FEE5ECDB531C3A373A9EF140A77</t>
  </si>
  <si>
    <t>JChemExcelQwAAAB+LCAAAAAAABADtvQdgHEmWJSYvbcp7f0r1StfgdKEIgGATJNiQQBDswYjN5pLsHWlHIymrKoHKZVZlXWYWQMztnbz33nvvvffee++997o7nU4n99//P1xmZAFs9s5K2smeIYCqyB8/fnwfPyJOTrZO7tD/TrY++/LOi60Tfl7snnzv5Pf89ve3vrxDP+0v7ufuyZd3Tvak8d7/A6UBIUxDAAAA</t>
  </si>
  <si>
    <t>239250AC7C05AD0734EE9DC767053A28</t>
  </si>
  <si>
    <t>JChemExcelJAAAAB+LCAAAAAAABADtvQdgHEmWJSYvbcp7f0r1StfgdKEIgGATJNiQQBDswYjN5pLsHWlHIymrKoHKZVZlXWYWQMztnbz33nvvvffee++997o7nU4n99//P1xmZAFs9s5K2smeIYCqyB8/fnwfPyJOvpzuTqfTrel098uTO9O96XJ6D38vl3v37rzYP6Fn//8BE5SYPSQAAAA=</t>
  </si>
  <si>
    <t>DE5641A55B02A42281AB6CE795B5DE8D</t>
  </si>
  <si>
    <t>JChemExcelUwAAAB+LCAAAAAAABADtvQdgHEmWJSYvbcp7f0r1StfgdKEIgGATJNiQQBDswYjN5pLsHWlHIymrKoHKZVZlXWYWQMztnbz33nvvvffee++997o7nU4n99//P1xmZAFs9s5K2smeIYCqyB8/fnwfPyJOTl5uffa94/X3X3/v5Pf89vd3v6Qf9HPr5MuTrc++vHNyhz/e8v7q/7lr/tw6OblzcvL/AO3O9ypTAAAA</t>
  </si>
  <si>
    <t>128740AF4DB186DF396F3C9453078E21</t>
  </si>
  <si>
    <t>JChemExcelIwAAAB+LCAAAAAAABADtvQdgHEmWJSYvbcp7f0r1StfgdKEIgGATJNiQQBDswYjN5pLsHWlHIymrKoHKZVZlXWYWQMztnbz33nvvvffee++997o7nU4n99//P1xmZAFs9s5K2smeIYCqyB8/fnwfPyJOtl5Md5fTreV0b4pnd+/Oi3sneO7dme5X9Mn+/wP9BC32IwAAAA==</t>
  </si>
  <si>
    <t>8204EE43B50DBD39D3A1744353028654</t>
  </si>
  <si>
    <t>JChemExcelMgAAAB+LCAAAAAAABADtvQdgHEmWJSYvbcp7f0r1StfgdKEIgGATJNiQQBDswYjN5pLsHWlHIymrKoHKZVZlXWYWQMztnbz33nvvvffee++997o7nU4n99//P1xmZAFs9s5K2smeIYCqyB8/fnwfPyJOprvT6XRrOt2983rrsy/v4P/LPXxybzpdTrde3JneuzPdpw+e1Hfog739/wchSATcMgAAAA==</t>
  </si>
  <si>
    <t>FBA0711D892B4B1B8BECAC997533FFE0</t>
  </si>
  <si>
    <t>JChemExcelJQAAAB+LCAAAAAAABADtvQdgHEmWJSYvbcp7f0r1StfgdKEIgGATJNiQQBDswYjN5pLsHWlHIymrKoHKZVZlXWYWQMztnbz33nvvvffee++997o7nU4n99//P1xmZAFs9s5K2smeIYCqyB8/fnwfPyJOyunudDrdanbvnGx99uWdF9O9arq1XO7dmd7D5yflnebe/wOaZ3XTJQAAAA==</t>
  </si>
  <si>
    <t>078F549B32E4ABA70174B4B1392E64BB</t>
  </si>
  <si>
    <t>JChemExcelOwAAAB+LCAAAAAAABADtvQdgHEmWJSYvbcp7f0r1StfgdKEIgGATJNiQQBDswYjN5pLsHWlHIymrKoHKZVZlXWYWQMztnbz33nvvvffee++997o7nU4n99//P1xmZAFs9s5K2smeIYCqyB8/fnwfPyJOXpxsffblnenucrl1cme6N723nG69mO5Pp9Ot6XT/zov7Jycv6JuTk/t3ltPpvZMT+gMtd/f+HwptsG87AAAA</t>
  </si>
  <si>
    <t>853AA0916CA5504DD49D550370A53371</t>
  </si>
  <si>
    <t>JChemExcelOgAAAB+LCAAAAAAABADtvQdgHEmWJSYvbcp7f0r1StfgdKEIgGATJNiQQBDswYjN5pLsHWlHIymrKoHKZVZlXWYWQMztnbz33nvvvffee++997o7nU4n99//P1xmZAFs9s5K2smeIYCqyB8/fnwfPyJOTnY/O9k62frsyzvTvenWsztT+Wfvxe6d6b0p/fXldJ9/nNDn9D98uU//v/f/AJ4JchU6AAAA</t>
  </si>
  <si>
    <t>AB66C64C4CAA6E71B2D65373CA52B5C5</t>
  </si>
  <si>
    <t>JChemExcelNQAAAB+LCAAAAAAABADtvQdgHEmWJSYvbcp7f0r1StfgdKEIgGATJNiQQBDswYjN5pLsHWlHIymrKoHKZVZlXWYWQMztnbz33nvvvffee++997o7nU4n99//P1xmZAFs9s5K2smeIYCqyB8/fnwfPyJOprvVcrp1cme6e7L12Zd3Xuyd0LN1sndneu97y29/f7rPX9KzP703vT+dLqfT+/8P8F0TyjUAAAA=</t>
  </si>
  <si>
    <t>BF6FC74A5BDAAB1E10AEC283D8D97C9B</t>
  </si>
  <si>
    <t>JChemExcelLQAAAB+LCAAAAAAABADtvQdgHEmWJSYvbcp7f0r1StfgdKEIgGATJNiQQBDswYjN5pLsHWlHIymrKoHKZVZlXWYWQMztnbz33nvvvffee++997o7nU4n99//P1xmZAFs9s5K2smeIYCqyB8/fnwfPyJeTHen0+necrqcbr2Y3qPft748me5P8cuzO9P9O9Otk/LO9N6d6d509/8BiT1TKy0AAAA=</t>
  </si>
  <si>
    <t>91036E61F0FB391D66BE9C36F5116062</t>
  </si>
  <si>
    <t>JChemExcelOwAAAB+LCAAAAAAABADtvQdgHEmWJSYvbcp7f0r1StfgdKEIgGATJNiQQBDswYjN5pLsHWlHIymrKoHKZVZlXWYWQMztnbz33nvvvffee++997o7nU4n99//P1xmZAFs9s5K2smeIYCqyB8/fnwfPyKenex+drJ1Qv9/cbL12Zd3Xuyd0LN3hz7ZvUPfvTjZ++yEvjl58dnJ3gv+6OSE/7f7/wDuldsWOwAAAA==</t>
  </si>
  <si>
    <t>6E03937EE1153C7A4A64D1A7E8F4B4ED</t>
  </si>
  <si>
    <t>JChemExcelKQAAAB+LCAAAAAAABADtvQdgHEmWJSYvbcp7f0r1StfgdKEIgGATJNiQQBDswYjN5pLsHWlHIymrKoHKZVZlXWYWQMztnbz33nvvvffee++997o7nU4n99//P1xmZAFs9s5K2smeIYCqyB8/fnwfPyJOyunulJ6t6e6dk63pHn49eXHv5OTFycm9O9Pp3p3l/nS6nO7/P7HugM0pAAAA</t>
  </si>
  <si>
    <t>B7B43202C073248F3D3073A66DFE94F6</t>
  </si>
  <si>
    <t>JChemExcelPQAAAB+LCAAAAAAABADtvQdgHEmWJSYvbcp7f0r1StfgdKEIgGATJNiQQBDswYjN5pLsHWlHIymrKoHKZVZlXWYWQMztnbz33nvvvffee++997o7nU4n99//P1xmZAFs9s5K2smeIYCqyB8/fnwfPyJOTna3Tu58+WTryzvTvel0ujWd7u7dObn32YsvT7ZO7t3Zmu7ThyflnenWszvyy/6dE/qd/vfs/wGHK/LdPQAAAA==</t>
  </si>
  <si>
    <t>7409F6743BF44D1CF2FF759A374AA45E</t>
  </si>
  <si>
    <t>JChemExcelJAAAAB+LCAAAAAAABADtvQdgHEmWJSYvbcp7f0r1StfgdKEIgGATJNiQQBDswYjN5pLsHWlHIymrKoHKZVZlXWYWQMztnbz33nvvvffee++997o7nU4n99//P1xmZAFs9s5K2smeIYCqyB8/fnwfPyJOTra+nO5O8ezeOdn67Ms7L6Z7y+nWtNm7M72Hj5f3/h/480ehJAAAAA==</t>
  </si>
  <si>
    <t>E5C47EA875DFEF877412D14B6853EADE</t>
  </si>
  <si>
    <t>JChemExcelKwAAAB+LCAAAAAAABADtvQdgHEmWJSYvbcp7f0r1StfgdKEIgGATJNiQQBDswYjN5pLsHWlHIymrKoHKZVZlXWYWQMztnbz33nvvvffee++997o7nU4n99//P1xmZAFs9s5K2smeIYCqyB8/fnwfPyJOTk5eb3325R38/8Uu/bV1Qn+cTPemePZOtp7dof89u3Nysvv/AI6FLJsrAAAA</t>
  </si>
  <si>
    <t>0131CACB2BD2287FDFF9F8FCB5727C29</t>
  </si>
  <si>
    <t>JChemExcelPQAAAB+LCAAAAAAABADtvQdgHEmWJSYvbcp7f0r1StfgdKEIgGATJNiQQBDswYjN5pLsHWlHIymrKoHKZVZlXWYWQMztnbz33nvvvffee++997o7nU4n99//P1xmZAFs9s5K2smeIYCqyB8/fnwfPyKenWw9u0P/m+5Op9Ot6XT3zou9k5MXWycne3dOtj778s73Tn7P3/Pb39+a3sP3J+Wd6fTenek+/bGc7v8/EbNJWT0AAAA=</t>
  </si>
  <si>
    <t>50502D0DCA2CAD8D7B8DC079FDE7095E</t>
  </si>
  <si>
    <t>JChemExcelHgAAAB+LCAAAAAAABADtvQdgHEmWJSYvbcp7f0r1StfgdKEIgGATJNiQQBDswYjN5pLsHWlHIymrKoHKZVZlXWYWQMztnbz33nvvvffee++997o7nU4n99//P1xmZAFs9s5K2smeIYCqyB8/fnwfPyJeTHeX0+l0j/6/NZ3u7t2Z3qNf9+mz5f703v8DqdVpdR4AAAA=</t>
  </si>
  <si>
    <t>473F130C5A20B18D39D39BDEA9D88C1D</t>
  </si>
  <si>
    <t>JChemExcelJQAAAB+LCAAAAAAABADtvQdgHEmWJSYvbcp7f0r1StfgdKEIgGATJNiQQBDswYjN5pLsHWlHIymrKoHKZVZlXWYWQMztnbz33nvvvffee++997o7nU4n99//P1xmZAFs9s5K2smeIYCqyB8/fnwfPyJOTpa70+V0b7r1YnpvOt16dkf+uXdnOd1aTnf37pz8+Iv/BzSjKrUlAAAA</t>
  </si>
  <si>
    <t>35D2F28E4C3C72CF9040C427ED97B218</t>
  </si>
  <si>
    <t>JChemExcelKgAAAB+LCAAAAAAABADtvQdgHEmWJSYvbcp7f0r1StfgdKEIgGATJNiQQBDswYjN5pLsHWlHIymrKoHKZVZlXWYWQMztnbz33nvvvffee++997o7nU4n99//P1xmZAFs9s5K2smeIYCqyB8/fnwfPyJOvpzuTunZWu7eme4tp/emW/jz3nLv5GT/5OTkxf6dF/fp58n9/wdIa9SIKgAAAA==</t>
  </si>
  <si>
    <t>835EA52B76ABD83E01D0ADA8C58920A0</t>
  </si>
  <si>
    <t>JChemExcelLQAAAB+LCAAAAAAABADtvQdgHEmWJSYvbcp7f0r1StfgdKEIgGATJNiQQBDswYjN5pLsHWlHIymrKoHKZVZlXWYWQMztnbz33nvvvffee++997o7nU4n99//P1xmZAFs9s5K2smeIYCqyB8/fnwfPyK+/Oxk68V0d0rP1nT3znQPv7w4OTl5cY/+Obl3ZznduzPdx/fT/f8HW+BlEi0AAAA=</t>
  </si>
  <si>
    <t>B6E8A31BC51BBEBE459CFE7ECC6B6EB8</t>
  </si>
  <si>
    <t>JChemExcelOwAAAB+LCAAAAAAABADtvQdgHEmWJSYvbcp7f0r1StfgdKEIgGATJNiQQBDswYjN5pLsHWlHIymrKoHKZVZlXWYWQMztnbz33nvvvffee++997o7nU4n99//P1xmZAFs9s5K2smeIYCqyB8/fnwfPyJOXuyenLzYOjnZvfN667Mv7+D/073pdLo1ne7dmd6j3/anWy+m95f00Ul5Z7q8f2c6XdKH9/4fsfW9SzsAAAA=</t>
  </si>
  <si>
    <t>1889C61068BBF5A1658071104162EAEC</t>
  </si>
  <si>
    <t>JChemExcelOgAAAB+LCAAAAAAABADtvQdgHEmWJSYvbcp7f0r1StfgdKEIgGATJNiQQBDswYjN5pLsHWlHIymrKoHKZVZlXWYWQMztnbz33nvvvffee++997o7nU4n99//P1xmZAFs9s5K2smeIYCqyB8/fnwfPyJOTrZO7tD/vjzZ+uzLOy92T/DBcm853dqe3psup/tTPPvTe3foz60Xd5b02d69Oycnu/8Pw1ZCtToAAAA=</t>
  </si>
  <si>
    <t>F186DDAC3CA1D749F6BD5DC4C813EB9D</t>
  </si>
  <si>
    <t>JChemExcelJwAAAB+LCAAAAAAABADtvQdgHEmWJSYvbcp7f0r1StfgdKEIgGATJNiQQBDswYjN5pLsHWlHIymrKoHKZVZlXWYWQMztnbz33nvvvffee++997o7nU4n99//P1xmZAFs9s5K2smeIYCqyB8/fnwfPyKenWw9u0P/m+5Op1svTk6me1M8e3eW063l7p3pPfy1vPf/ANlEzfcnAAAA</t>
  </si>
  <si>
    <t>CC3DEA92648DD810BCCB53B9E540C025</t>
  </si>
  <si>
    <t>JChemExcelLQAAAB+LCAAAAAAABADtvQdgHEmWJSYvbcp7f0r1StfgdKEIgGATJNiQQBDswYjN5pLsHWlHIymrKoHKZVZlXWYWQMztnbz33nvvvffee++997o7nU4n99//P1xmZAFs9s5K2smeIYCqyB8/fnwfPyJOvpzuTqfTrel09842/bqc7tH/t6bL3T3+G999ebJ1cufkznT3/wGY5y9QLQAAAA==</t>
  </si>
  <si>
    <t>5734CA8C2ADD4C52ABE7A99F39C08B83</t>
  </si>
  <si>
    <t>JChemExcelNgAAAB+LCAAAAAAABADtvQdgHEmWJSYvbcp7f0r1StfgdKEIgGATJNiQQBDswYjN5pLsHWlHIymrKoHKZVZlXWYWQMztnbz33nvvvffee++997o7nU4n99//P1xmZAFs9s5K2smeIYCqyB8/fnwfPyKenexuPbtzcvJi64SeF9O96XRreg//TKf3lnt3Tso7J1uffXnnBX25hyb00cnu/wM95RrENgAAAA==</t>
  </si>
  <si>
    <t>B703055E4057D96A926E0A87FC7F3669</t>
  </si>
  <si>
    <t>JChemExcelJQAAAB+LCAAAAAAABADtvQdgHEmWJSYvbcp7f0r1StfgdKEIgGATJNiQQBDswYjN5pLsHWlHIymrKoHKZVZlXWYWQMztnbz33nvvvffee++997o7nU4n99//P1xmZAFs9s5K2smeIYCqyB8/fnwfPyK+PDmZ7k6n060X070lfi737kzvLZfTffpjury3f2c63f1/ANNSAm8lAAAA</t>
  </si>
  <si>
    <t>EC8E9C292480354FC346D1373D64B544</t>
  </si>
  <si>
    <t>JChemExcelLAAAAB+LCAAAAAAABADtvQdgHEmWJSYvbcp7f0r1StfgdKEIgGATJNiQQBDswYjN5pLsHWlHIymrKoHKZVZlXWYWQMztnbz33nvvvffee++997o7nU4n99//P1xmZAFs9s5K2smeIYCqyB8/fnwfPyJO6PnyZOuzL++8mO5Op3vL6db3lt/+/nRvOt19cQ/f3rtzso+fJ/v/D0hzdIAsAAAA</t>
  </si>
  <si>
    <t>F15CF1B20A9840516A73271AF7568BD2</t>
  </si>
  <si>
    <t>JChemExcelKAAAAB+LCAAAAAAABADtvQdgHEmWJSYvbcp7f0r1StfgdKEIgGATJNiQQBDswYjN5pLsHWlHIymrKoHKZVZlXWYWQMztnbz33nvvvffee++997o7nU4n99//P1xmZAFs9s5K2smeIYCqyB8/fnwfPyKenWw9u0P/m+5Ol9Ot19O9arq1XO7dmd6b0gfTe3emWyflnenu/wMoc7J+KAAAAA==</t>
  </si>
  <si>
    <t>7FBFFBA08803B00B5F27FF0044A08CFE</t>
  </si>
  <si>
    <t>JChemExcelJwAAAB+LCAAAAAAABADtvQdgHEmWJSYvbcp7f0r1StfgdKEIgGATJNiQQBDswYjN5pLsHWlHIymrKoHKZVZlXWYWQMztnbz33nvvvffee++997o7nU4n99//P1xmZAFs9s5K2smeIYCqyB8/fnwfPyK+/Oxk62T3BM/unRd7Jyf3XmydnEz3p3ju7d852frsyzsne/8P/6DHtScAAAA=</t>
  </si>
  <si>
    <t>2A2A48C9EF59B2DF5E66957D8D28509D</t>
  </si>
  <si>
    <t>JChemExcelZgAAAB+LCAAAAAAABADtvQdgHEmWJSYvbcp7f0r1StfgdKEIgGATJNiQQBDswYjN5pLsHWlHIymrKoHKZVZlXWYWQMztnbz33nvvvffee++997o7nU4n99//P1xmZAFs9s5K2smeIYCqyB8/fnwfPyJOTr538nv+nt/+/hb9oH9P7nx558Xui89OXmyd7H725Z3p3nQ63ZpO9+68uHeCD0/u3Znu47Mv9cX7J1/SL/Tm8tPpcrr89M7Wyf070wdo8uzOdPoA/+z/P8Sded1mAAAA</t>
  </si>
  <si>
    <t>EA0D8206F790E74FBDB3B71C6197209F</t>
  </si>
  <si>
    <t>JChemExcelKgAAAB+LCAAAAAAABADtvQdgHEmWJSYvbcp7f0r1StfgdKEIgGATJNiQQBDswYjN5pLsHWlHIymrKoHKZVZlXWYWQMztnbz33nvvvffee++997o7nU4n99//P1xmZAFs9s5K2smeIYCqyB8/fnwfPyJOTrY++/LOl9PdKZ5d/uvFdG85nW41e3e+9+KT7+OT7325/f3/B75I/iAqAAAA</t>
  </si>
  <si>
    <t>C87FB89EAB74CE241F9F25502982A38B</t>
  </si>
  <si>
    <t>JChemExcelNAAAAB+LCAAAAAAABADtvQdgHEmWJSYvbcp7f0r1StfgdKEIgGATJNiQQBDswYjN5pLsHWlHIymrKoHKZVZlXWYWQMztnbz33nvvvffee++997o7nU4n99//P1xmZAFs9s5K2smeIYCqyB8/fnwfPyJOprvT6XTrxcnWZ1/eme4tp99bfvv70z3+88X03nK6P8Wzj4/v3ZlundyZ7v4/OQPpqzQAAAA=</t>
  </si>
  <si>
    <t>E8FCC75B7D33947E56475255573317EB</t>
  </si>
  <si>
    <t>JChemExcelKAAAAB+LCAAAAAAABADtvQdgHEmWJSYvbcp7f0r1StfgdKEIgGATJNiQQBDswYjN5pLsHWlHIymrKoHKZVZlXWYWQMztnbz33nvvvffee++997o7nU4n99//P1xmZAFs9s5K2smeIYCqyB8/fnwfPyJenGx99uWd6e50Ot2aTnfvTPeW9MtyuvfizvSefHjvzsmPv/h/APqhe6ooAAAA</t>
  </si>
  <si>
    <t>48768FF59F261D720E3CD073C8665558</t>
  </si>
  <si>
    <t>JChemExcelFQAAAB+LCAAAAAAABADtvQdgHEmWJSYvbcp7f0r1StfgdKEIgGATJNiQQBDswYjN5pLsHWlHIymrKoHKZVZlXWYWQMztnbz33nvvvffee++997o7nU4n99//P1xmZAFs9s5K2smeIYCqyB8/fnwfPyK+nO5Ot87uTPmfvel0upzu7v0/WRyIxxUAAAA=</t>
  </si>
  <si>
    <t>A95AF50AB245B59FD0B6AE8443E2D861</t>
  </si>
  <si>
    <t>JChemExcelMwAAAB+LCAAAAAAABADtvQdgHEmWJSYvbcp7f0r1StfgdKEIgGATJNiQQBDswYjN5pLsHWlHIymrKoHKZVZlXWYWQMztnbz33nvvvffee++997o7nU4n99//P1xmZAFs9s5K2smeIYCqyB8/fnwfPyJOTqa70+l0azrdvfN667Mv7+D/L6Z79NHJi3snJy+2Tk5Otk7u0H8n9+5Qy72T/weGNgW1MwAAAA==</t>
  </si>
  <si>
    <t>40A430A0026E1AB6CDB6A8E12D9F87D4</t>
  </si>
  <si>
    <t>JChemExcelKQAAAB+LCAAAAAAABADtvQdgHEmWJSYvbcp7f0r1StfgdKEIgGATJNiQQBDswYjN5pLsHWlHIymrKoHKZVZlXWYWQMztnbz33nvvvffee++997o7nU4n99//P1xmZAFs9s5K2smeIYCqyB8/fnwfPyJOdk9ebJ2cvNi9M92bTreW31t++/t7d6b3pvTHl9P9KZ79O9Ppvf8HNaFNiikAAAA=</t>
  </si>
  <si>
    <t>2E3940AEC2AA51EAA46708469C85F625</t>
  </si>
  <si>
    <t>JChemExcelQAAAAB+LCAAAAAAABADtvQdgHEmWJSYvbcp7f0r1StfgdKEIgGATJNiQQBDswYjN5pLsHWlHIymrKoHKZVZlXWYWQMztnbz33nvvvffee++997o7nU4n99//P1xmZAFs9s5K2smeIYCqyB8/fnwfPyJO6JnuTqfTrRcnW599eefFdA9/fPm9k9/z29+/h2/pN/z6YuvkznR/imf/znTr2Z3p3p3pdPf/AarHey5AAAAA</t>
  </si>
  <si>
    <t>D1A972326F3C55A1F6DD7A24489C6C08</t>
  </si>
  <si>
    <t>JChemExcelIAAAAB+LCAAAAAAABADtvQdgHEmWJSYvbcp7f0r1StfgdKEIgGATJNiQQBDswYjN5pLsHWlHIymrKoHKZVZlXWYWQMztnbz33nvvvffee++997o7nU4n99//P1xmZAFs9s5K2smeIYCqyB8/fnwfPyJOTrZO7tD/prvT5XTrxcnWZ1/eme5N8ex9eafZ/X8AbBnaPiAAAAA=</t>
  </si>
  <si>
    <t>31F3C7F10CC2A19F191CC1E72A9CA983</t>
  </si>
  <si>
    <t>JChemExcelLgAAAB+LCAAAAAAABADtvQdgHEmWJSYvbcp7f0r1StfgdKEIgGATJNiQQBDswYjN5pLsHWlHIymrKoHKZVZlXWYWQMztnbz33nvvvffee++997o7nU4n99//P1xmZAFs9s5K2smeIYCqyB8/fnwfPyJOprvL6Rb978XJyXRvOp1uTad7d15vffblHfz/5M5096S8M71H30yX9/4ftHB1GS4AAAA=</t>
  </si>
  <si>
    <t>CEFDD86F4A5404981CCE4375A0AB29AC</t>
  </si>
  <si>
    <t>JChemExcelJQAAAB+LCAAAAAAABADtvQdgHEmWJSYvbcp7f0r1StfgdKEIgGATJNiQQBDswYjN5pLsHWlHIymrKoHKZVZlXWYWQMztnbz33nvvvffee++997o7nU4n99//P1xmZAFs9s5K2smeIYCqyB8/fnwfPyJOTr6c7k6n063pdPfOdG853Tp5cXIyvYePnt2ZTu/dmTZ7/w9Qx2Q0JQAAAA==</t>
  </si>
  <si>
    <t>73864E92901126CDF6EAFE77EA264576</t>
  </si>
  <si>
    <t>JChemExcelIQAAAB+LCAAAAAAABADtvQdgHEmWJSYvbcp7f0r1StfgdKEIgGATJNiQQBDswYjN5pLsHWlHIymrKoHKZVZlXWYWQMztnbz33nvvvffee++997o7nU4n99//P1xmZAFs9s5K2smeIYCqyB8/fnwfPyJOprvT6dbJneV0a7l7Z7m3xB/T6d6L6b0pnnv/Dy2qVdQhAAAA</t>
  </si>
  <si>
    <t>8F57F455D03574065C862C97334A2A99</t>
  </si>
  <si>
    <t>JChemExcelLgAAAB+LCAAAAAAABADtvQdgHEmWJSYvbcp7f0r1StfgdKEIgGATJNiQQBDswYjN5pLsHWlHIymrKoHKZVZlXWYWQMztnbz33nvvvffee++997o7nU4n99//P1xmZAFs9s5K2smeIYCqyB8/fnwfPyK+/Oxk68V0d4pn9850j35sNXt3pvem0/3pdMn/3vvy5P7JyYuTk/v/D3sQXH8uAAAA</t>
  </si>
  <si>
    <t>47E59C273C8981B4DE1FFD1F5A047508</t>
  </si>
  <si>
    <t>JChemExcelJAAAAB+LCAAAAAAABADtvQdgHEmWJSYvbcp7f0r1StfgdKEIgGATJNiQQBDswYjN5pLsHWlHIymrKoHKZVZlXWYWQMztnbz33nvvvffee++997o7nU4n99//P1xmZAFs9s5K2smeIYCqyB8/fnwfPyJOXmyd3JnuTqdbL062Pvvyzovp3hTP3p3pPf7l3nL3/wEWfXR5JAAAAA==</t>
  </si>
  <si>
    <t>F31275849429BA6FA00843BDB9472942</t>
  </si>
  <si>
    <t>JChemExcelKAAAAB+LCAAAAAAABADtvQdgHEmWJSYvbcp7f0r1StfgdKEIgGATJNiQQBDswYjN5pLsHWlHIymrKoHKZVZlXWYWQMztnbz33nvvvffee++997o7nU4n99//P1xmZAFs9s5K2smeIYCqyB8/fnwfPyJOXuyenLzYOjnZvTPdW06n03vfW377+9Ot6XTv3p3pPn0w3Xp2Z7r//wBvZWNRKAAAAA==</t>
  </si>
  <si>
    <t>176BA1711D9594D1021477194F1AC69C</t>
  </si>
  <si>
    <t>JChemExcelRQAAAB+LCAAAAAAABADtvQdgHEmWJSYvbcp7f0r1StfgdKEIgGATJNiQQBDswYjN5pLsHWlHIymrKoHKZVZlXWYWQMztnbz33nvvvffee++997o7nU4n99//P1xmZAFs9s5K2smeIYCqyB8/fnwfPyJOyunudDrdmk5373zv5Pf8Pb/9/T368e3vb305vTfFc+/OydZnX955sXdystyfLqf3p1svTqaf8nef3lnSJ/v3/x+cuF7MRQAAAA==</t>
  </si>
  <si>
    <t>DC8053192D9BDC4CA7D2B96D4229DF0F</t>
  </si>
  <si>
    <t>JChemExcelGgAAAB+LCAAAAAAABADtvQdgHEmWJSYvbcp7f0r1StfgdKEIgGATJNiQQBDswYjN5pLsHWlHIymrKoHKZVZlXWYWQMztnbz33nvvvffee++997o7nU4n99//P1xmZAFs9s5K2smeIYCqyB8/fnwfPyJeTHeneyf0TPeW03vNdJ9/35/u3vt/AHxxJIwaAAAA</t>
  </si>
  <si>
    <t>4E7D92F159011A80C1752B40C1ECAEE7</t>
  </si>
  <si>
    <t>JChemExcelIgAAAB+LCAAAAAAABADtvQdgHEmWJSYvbcp7f0r1StfgdKEIgGATJNiQQBDswYjN5pLsHWlHIymrKoHKZVZlXWYWQMztnbz33nvvvffee++997o7nU4n99//P1xmZAFs9s5K2smeIYCqyB8/fnwfPyJeTHeX0+V073vLb39/Od06md6b0rOPf6b39u9Md/f+H7DGEoEiAAAA</t>
  </si>
  <si>
    <t>99CA38E2A11DA21FA28A37D25161AB28</t>
  </si>
  <si>
    <t>JChemExcelGAAAAB+LCAAAAAAABADtvQdgHEmWJSYvbcp7f0r1StfgdKEIgGATJNiQQBDswYjN5pLsHWlHIymrKoHKZVZlXWYWQMztnbz33nvvvffee++997o7nU4n99//P1xmZAFs9s5K2smeIYCqyB8/fnwfPyJOypPdz05Otl58Rv+/8+Xenc9O9k4+O9n9fwA1WLmjGAAAAA==</t>
  </si>
  <si>
    <t>FB9B7C7C56D416CE163AF81AC053DA4B</t>
  </si>
  <si>
    <t>JChemExcelVQAAAB+LCAAAAAAABADtvQdgHEmWJSYvbcp7f0r1StfgdKEIgGATJNiQQBDswYjN5pLsHWlHIymrKoHKZVZlXWYWQMztnbz33nvvvffee++997o7nU4n99//P1xmZAFs9s5K2smeIYCqyB8/fnwfPyJOvjzZ/exk68sTer482fvs5IT+Orn32YsXLz57ce8O/bV3hz/a+t7J7/l7fvv7+/Tj29+/j2Yn+3eo2dbJpyf8fHrn5P5nX6Lx7v8DPzFP7lUAAAA=</t>
  </si>
  <si>
    <t>D7FFD67069D81E68BDAE44FED539F243</t>
  </si>
  <si>
    <t>JChemExcelNwAAAB+LCAAAAAAABADtvQdgHEmWJSYvbcp7f0r1StfgdKEIgGATJNiQQBDswYjN5pLsHWlHIymrKoHKZVZlXWYWQMztnbz33nvvvffee++997o7nU4n99//P1xmZAFs9s5K2smeIYCqyB8/fnwfPyJOprvT6XRrOt2983rrsy/v4P8v9k5OXmydnOzdOcGf03vU4HvLb39/ee/OdH+KZ///AbetDIE3AAAA</t>
  </si>
  <si>
    <t>73AC40A32AD3AD70F984BC312D2A8BE8</t>
  </si>
  <si>
    <t>JChemExcelLAAAAB+LCAAAAAAABADtvQdgHEmWJSYvbcp7f0r1StfgdKEIgGATJNiQQBDswYjN5pLsHWlHIymrKoHKZVZlXWYWQMztnbz33nvvvffee++997o7nU4n99//P1xmZAFs9s5K2smeIYCqyB8/fnwfPyJOyunulJ6tky+/d/J7fvv7eycn03v4YHqP/sYHy/3pdLncvzPd/X8Abd64UCwAAAA=</t>
  </si>
  <si>
    <t>061013A2AA7FC2171512C5163E103E8A</t>
  </si>
  <si>
    <t>JChemExcelLgAAAB+LCAAAAAAABADtvQdgHEmWJSYvbcp7f0r1StfgdKEIgGATJNiQQBDswYjN5pLsHWlHIymrKoHKZVZlXWYWQMztnbz33nvvvffee++997o7nU4n99//P1xmZAFs9s5K2smeIYCqyB8/fnwfPyJenJxsffblnRe7JyfLvenWye6d5XRruvdiem86ne5/efLldH967870/hTP/f8HziqUWS4AAAA=</t>
  </si>
  <si>
    <t>E46E6483E9B2C3F5DD4ADCD78BFFD41F</t>
  </si>
  <si>
    <t>JChemExcelLgAAAB+LCAAAAAAABADtvQdgHEmWJSYvbcp7f0r1StfgdKEIgGATJNiQQBDswYjN5pLsHWlHIymrKoHKZVZlXWYWQMztnbz33nvvvffee++997o7nU4n99//P1xmZAFs9s5K2smeIYCqyB8/fnwfPyJOTnY/ezHdm06nWyflnel072TryztbL3ZPTl7cO8Fz7850n7+lL/f/H6amQvYuAAAA</t>
  </si>
  <si>
    <t>77B316B8883485025D0D0026700EC423</t>
  </si>
  <si>
    <t>JChemExcelKgAAAB+LCAAAAAAABADtvQdgHEmWJSYvbcp7f0r1StfgdKEIgGATJNiQQBDswYjN5pLsHWlHIymrKoHKZVZlXWYWQMztnbz33nvvvffee++997o7nU4n99//P1xmZAFs9s5K2smeIYCqyB8/fnwfPyJOvpzuTvHsnrw42frsyzvTvel0azm9Rz+Xy3snWyd36L/9k5P9/wfyRx0wKgAAAA==</t>
  </si>
  <si>
    <t>19951D6468E215529B4CAB8FE2EC5D87</t>
  </si>
  <si>
    <t>JChemExcelNgAAAB+LCAAAAAAABADtvQdgHEmWJSYvbcp7f0r1StfgdKEIgGATJNiQQBDswYjN5pLsHWlHIymrKoHKZVZlXWYWQMztnbz33nvvvffee++997o7nU4n99//P1xmZAFs9s5K2smeIYCqyB8/fnwfPyJOvjzZ+uzLO9Pd6d7JyYutk+m9KZ57d06me8109wV/e7L/2cn0Pn9x/0v648v/B5tWwHM2AAAA</t>
  </si>
  <si>
    <t>ECF07D284077EAF8C95B5C5912E592F2</t>
  </si>
  <si>
    <t>JChemExcelLgAAAB+LCAAAAAAABADtvQdgHEmWJSYvbcp7f0r1StfgdKEIgGATJNiQQBDswYjN5pLsHWlHIymrKoHKZVZlXWYWQMztnbz33nvvvffee++997o7nU4n99//P1xmZAFs9s5K2smeIYCqyB8/fnwfPyJOprvT6XRrOt29s41ft6Z7/Od0b7l750l952Trsy/vvOBGy+nu/wN5+CzdLgAAAA==</t>
  </si>
  <si>
    <t>C4B4E629DA2822C4EE3293F158C1FC43</t>
  </si>
  <si>
    <t>JChemExcelLwAAAB+LCAAAAAAABADtvQdgHEmWJSYvbcp7f0r1StfgdKEIgGATJNiQQBDswYjN5pLsHWlHIymrKoHKZVZlXWYWQMztnbz33nvvvffee++997o7nU4n99//P1xmZAFs9s5K2smeIYCqyB8/fnwfPyJOvpzuTunZ+vLkznT3ZOuzL++8mO7hg5PyznRrundnem853UeT6X5z7/8BDThXwy8AAAA=</t>
  </si>
  <si>
    <t>92CCEFD9A88F700077C8C11A60E02627</t>
  </si>
  <si>
    <t>JChemExcelKgAAAB+LCAAAAAAABADtvQdgHEmWJSYvbcp7f0r1StfgdKEIgGATJNiQQBDswYjN5pLsHWlHIymrKoHKZVZlXWYWQMztnbz33nvvvffee++997o7nU4n99//P1xmZAFs9s5K2smeIYCqyB8/fnwfPyK+/Oxk6+TkZPcEz+6dF9O9KT1b070703vVdGu5vHdnul/RR/v/DyPGdgMqAAAA</t>
  </si>
  <si>
    <t>9DDABB7C7CB02412DC0E86C0792A0D9A</t>
  </si>
  <si>
    <t>JChemExcelJQAAAB+LCAAAAAAABADtvQdgHEmWJSYvbcp7f0r1StfgdKEIgGATJNiQQBDswYjN5pLsHWlHIymrKoHKZVZlXWYWQMztnbz33nvvvffee++997o7nU4n99//P1xmZAFs9s5K2smeIYCqyB8/fnwfPyJOprvT6XRvOd06uTPdmt6bTpdbJ9P9KZ79O8t7d5Z7093/B9355wQlAAAA</t>
  </si>
  <si>
    <t>6CA7D790EE217985C3A0211B97050C7E</t>
  </si>
  <si>
    <t>JChemExcelKQAAAB+LCAAAAAAABADtvQdgHEmWJSYvbcp7f0r1StfgdKEIgGATJNiQQBDswYjN5pLsHWlHIymrKoHKZVZlXWYWQMztnbz33nvvvffee++997o7nU4n99//P1xmZAFs9s5K2smeIYCqyB8/fnwfPyJOprvL6Rb978XeycnJ1sn03hTPvTsne3emuyflnek+/l7u/z8kc2OFKQAAAA==</t>
  </si>
  <si>
    <t>3766CA0E3432AEF15C566D551059FBA6</t>
  </si>
  <si>
    <t>JChemExcelLQAAAB+LCAAAAAAABADtvQdgHEmWJSYvbcp7f0r1StfgdKEIgGATJNiQQBDswYjN5pLsHWlHIymrKoHKZVZlXWYWQMztnbz33nvvvffee++997o7nU4n99//P1xmZAFs9s5K2smeIYCqyB8/fnwfPyJOTqa7y+XWyZ3p1snWZ1/eeXEy3ZtOp1tfTu/hB30+vUf/37sz3T0p/x9NlYXkLQAAAA==</t>
  </si>
  <si>
    <t>E5D22D3BC79CE2D15830B3B8120E9F9F</t>
  </si>
  <si>
    <t>JChemExcelLwAAAB+LCAAAAAAABADtvQdgHEmWJSYvbcp7f0r1StfgdKEIgGATJNiQQBDswYjN5pLsHWlHIymrKoHKZVZlXWYWQMztnbz33nvvvffee++997o7nU4n99//P1xmZAFs9s5K2smeIYCqyB8/fnwfPyKenWw9u0P/m+5O6dma7t452frsyzsvTvZOTl5snezdmd6bTpfTfXw7vbf//wD9qv2RLwAAAA==</t>
  </si>
  <si>
    <t>83578530A72D044D00EE58E3D3456AE8</t>
  </si>
  <si>
    <t>JChemExcelHQAAAB+LCAAAAAAABADtvQdgHEmWJSYvbcp7f0r1StfgdKEIgGATJNiQQBDswYjN5pLsHWlHIymrKoHKZVZlXWYWQMztnbz33nvvvffee++997o7nU4n99//P1xmZAFs9s5K2smeIYCqyB8/fnwfPyJenJxsTXen02mze+f11mdf3sH/p3tTPHv/Dxjlm+sdAAAA</t>
  </si>
  <si>
    <t>E645C8713666428F49E5FE9508200CB0</t>
  </si>
  <si>
    <t>JChemExcelOAAAAB+LCAAAAAAABADtvQdgHEmWJSYvbcp7f0r1StfgdKEIgGATJNiQQBDswYjN5pLsHWlHIymrKoHKZVZlXWYWQMztnbz33nvvvffee++997o7nU4n99//P1xmZAFs9s5K2smeIYCqyB8/fnwfPyJOXpxsffblnZPdk+nedOt7y29/f3pvOt06Ke9Mp9O9e3dO9rdOTl7Q/6f3p3ju3zk52b/zYvf/AVt1LfU4AAAA</t>
  </si>
  <si>
    <t>49CC9E4CA8A4A31517CC2043497B4D9A</t>
  </si>
  <si>
    <t>JChemExcelLQAAAB+LCAAAAAAABADtvQdgHEmWJSYvbcp7f0r1StfgdKEIgGATJNiQQBDswYjN5pLsHWlHIymrKoHKZVZlXWYWQMztnbz33nvvvffee++997o7nU4n99//P1xmZAFs9s5K2smeIYCqyB8/fnwfPyJOTnZPvjzZOlnuTZfT5d6drS9370zvTafTrS+n+/hxUt6ZTvfp//dOyv8H1jJu0S0AAAA=</t>
  </si>
  <si>
    <t>CFFF6BD32270D05A6B410AA3A7C4B4B2</t>
  </si>
  <si>
    <t>JChemExcelJgAAAB+LCAAAAAAABADtvQdgHEmWJSYvbcp7f0r1StfgdKEIgGATJNiQQBDswYjN5pLsHWlHIymrKoHKZVZlXWYWQMztnbz33nvvvffee++997o7nU4n99//P1xmZAFs9s5K2smeIYCqyB8/fnwfPyJOTk6Wu9OtFydbn315Z7o3nU7vTfHcW+7dWU73+ffd/f8HUstuiiYAAAA=</t>
  </si>
  <si>
    <t>F5117C23CDA81291434746BA5C2606A6</t>
  </si>
  <si>
    <t>JChemExcelKQAAAB+LCAAAAAAABADtvQdgHEmWJSYvbcp7f0r1StfgdKEIgGATJNiQQBDswYjN5pLsHWlHIymrKoHKZVZlXWYWQMztnbz33nvvvffee++997o7nU4n99//P1xmZAFs9s5K2smeIYCqyB8/fnwfPyJeTHeX073pdLo1ne59b/nt7+/emd6bLunvL6f7+PjZnel0/8703v8DCm5bKykAAAA=</t>
  </si>
  <si>
    <t>62DBB0F43C5B557ED57A8BC42D51C90E</t>
  </si>
  <si>
    <t>JChemExcelLAAAAB+LCAAAAAAABADtvQdgHEmWJSYvbcp7f0r1StfgdKEIgGATJNiQQBDswYjN5pLsHWlHIymrKoHKZVZlXWYWQMztnbz33nvvvffee++997o7nU4n99//P1xmZAFs9s5K2smeIYCqyB8/fnwfPyJOvpzuTqfTrenWl3emu3eme9WS/tib3sOHJ+Wd6fTenZOtZ3fof8/+H7amfowsAAAA</t>
  </si>
  <si>
    <t>C3AF58641F0F85BAE4D7CB47D2464869</t>
  </si>
  <si>
    <t>JChemExcelSAAAAB+LCAAAAAAABADtvQdgHEmWJSYvbcp7f0r1StfgdKEIgGATJNiQQBDswYjN5pLsHWlHIymrKoHKZVZlXWYWQMztnbz33nvvvffee++997o7nU4n99//P1xmZAFs9s5K2smeIYCqyB8/fnwfPyJOvjzZ/exk68sTer482fvs5IT+Orn32YsXLz57ce8O/bV3hz/ap4+2Tu6f8HP/Dj7ZOrlzcuezL/H97v8D/tpQJkgAAAA=</t>
  </si>
  <si>
    <t>C4F0529DFEDC7BB3AF958375E18E5EDB</t>
  </si>
  <si>
    <t>JChemExcelLQAAAB+LCAAAAAAABADtvQdgHEmWJSYvbcp7f0r1StfgdKEIgGATJNiQQBDswYjN5pLsHWlHIymrKoHKZVZlXWYWQMztnbz33nvvvffee++997o7nU4n99//P1xmZAFs9s5K2smeIYCqyB8/fnwfPyJOvpzuTqdb0+ke/VtNd/fuTO9N+YN7d072P3txcvJi/87Jff7l/v8DKzLtAS0AAAA=</t>
  </si>
  <si>
    <t>ECAB7F05A2550366AC230FBDD4564103</t>
  </si>
  <si>
    <t>JChemExcelIgAAAB+LCAAAAAAABADtvQdgHEmWJSYvbcp7f0r1StfgdKEIgGATJNiQQBDswYjN5pLsHWlHIymrKoHKZVZlXWYWQMztnbz33nvvvffee++997o7nU4n99//P1xmZAFs9s5K2smeIYCqyB8/fnwfPyJOXpycnGx9Od2dTqdb0+nunZOtZ3fof8/uTPemePb+H2WgH1wiAAAA</t>
  </si>
  <si>
    <t>B11FEA0194EC28E1DDAAA312C83559FD</t>
  </si>
  <si>
    <t>JChemExcelLgAAAB+LCAAAAAAABADtvQdgHEmWJSYvbcp7f0r1StfgdKEIgGATJNiQQBDswYjN5pLsHWlHIymrKoHKZVZlXWYWQMztnbz33nvvvffee++997o7nU4n99//P1xmZAFs9s5K2smeIYCqyB8/fnwfPyJOvpzuTqfTrel098uTO9vT3eVyuscfLHf38PeU/9i9c7J1cufk/wHCwsLRLgAAAA==</t>
  </si>
  <si>
    <t>AC390CE13FA932DDC6874E03542EC448</t>
  </si>
  <si>
    <t>JChemExcelLwAAAB+LCAAAAAAABADtvQdgHEmWJSYvbcp7f0r1StfgdKEIgGATJNiQQBDswYjN5pLsHWlHIymrKoHKZVZlXWYWQMztnbz33nvvvffee++997o7nU4n99//P1xmZAFs9s5K2smeIYCqyB8/fnwfPyJOvnfye/6e3/7+1outkzvT3eV0ujfdenFnKf/sLXfvTO9Np9P9E3qm+9N7/w8fomvwLwAAAA==</t>
  </si>
  <si>
    <t>0F95AEAF7D655B0E214A0F8DA7C3EF1F</t>
  </si>
  <si>
    <t>JChemExcelIgAAAB+LCAAAAAAABADtvQdgHEmWJSYvbcp7f0r1StfgdKEIgGATJNiQQBDswYjN5pLsHWlHIymrKoHKZVZlXWYWQMztnbz33nvvvffee++997o7nU4n99//P1xmZAFs9s5K2smeIYCqyB8/fnwfPyJOdk9OXmydnOzeme5Np1vL6b0pnr17d6b7+GW5//8ATAvJsiIAAAA=</t>
  </si>
  <si>
    <t>B1E071F173D31C453D75AB1E1DEA099F</t>
  </si>
  <si>
    <t>JChemExcelMQAAAB+LCAAAAAAABADtvQdgHEmWJSYvbcp7f0r1StfgdKEIgGATJNiQQBDswYjN5pLsHWlHIymrKoHKZVZlXWYWQMztnbz33nvvvffee++997o7nU4n99//P1xmZAFs9s5K2smeIYCqyB8/fnwfPyJenJy82DrZ+uzLO9Pd6XS6dVLemU538e8e/vzyZHrPfnyP/r/3/wArPCcOMQAAAA==</t>
  </si>
  <si>
    <t>01B322D6A09FD96B621C426CCAEC2CD2</t>
  </si>
  <si>
    <t>JChemExcelMAAAAB+LCAAAAAAABADtvQdgHEmWJSYvbcp7f0r1StfgdKEIgGATJNiQQBDswYjN5pLsHWlHIymrKoHKZVZlXWYWQMztnbz33nvvvffee++997o7nU4n99//P1xmZAFs9s5K2smeIYCqyB8/fnwfPyK+/Oxk92Tr5GTv5IR+bJ3cof/Rfyd7dz7jv+/h+89O6H/37nz25Z0v/x9IwHLvMAAAAA==</t>
  </si>
  <si>
    <t>B44014B2717E6A2ABF9CD4EDD7E7480B</t>
  </si>
  <si>
    <t>JChemExcelMQAAAB+LCAAAAAAABADtvQdgHEmWJSYvbcp7f0r1StfgdKEIgGATJNiQQBDswYjN5pLsHWlHIymrKoHKZVZlXWYWQMztnbz33nvvvffee++997o7nU4n99//P1xmZAFs9s5K2smeIYCqyB8/fnwfPyKenWw9u0P/m+4up1vVdPdk67Mv77yY7k2n063ldO/Oi3snJy9OTu7dme5P8ez/PweB0jQxAAAA</t>
  </si>
  <si>
    <t>7ED37FF230678483813E180100503875</t>
  </si>
  <si>
    <t>JChemExcelJAAAAB+LCAAAAAAABADtvQdgHEmWJSYvbcp7f0r1StfgdKEIgGATJNiQQBDswYjN5pLsHWlHIymrKoHKZVZlXWYWQMztnbz33nvvvffee++997o7nU4n99//P1xmZAFs9s5K2smeIYCqyB8/fnwfPyJOdk9OTrZOTnbvvJjuTadbS/rf3p3pvSk9y3t3TvZPTvb/H/mQQ0UkAAAA</t>
  </si>
  <si>
    <t>AFCDF9FB919D97FE69711D6CBEED8E59</t>
  </si>
  <si>
    <t>JChemExcelIQAAAB+LCAAAAAAABADtvQdgHEmWJSYvbcp7f0r1StfgdKEIgGATJNiQQBDswYjN5pLsHWlHIymrKoHKZVZlXWYWQMztnbz33nvvvffee++997o7nU4n99//P1xmZAFs9s5K2smeIYCqyB8/fnwfPyJOyunuFM/uyeuT6V413ZpO9+6cbH325Z0XJ/dOTu79P/U+2SYhAAAA</t>
  </si>
  <si>
    <t>576CD10A8797676B2BC76E649A444443</t>
  </si>
  <si>
    <t>JChemExcelKQAAAB+LCAAAAAAABADtvQdgHEmWJSYvbcp7f0r1StfgdKEIgGATJNiQQBDswYjN5pLsHWlHIymrKoHKZVZlXWYWQMztnbz33nvvvffee++997o7nU4n99//P1xmZAFs9s5K2smeIYCqyB8/fnwfPyJOTl5vffblHfz/xdbJdLeaTqe7d06me9PpPfp16+QO/bKc7n35/wDYxlgnKQAAAA==</t>
  </si>
  <si>
    <t>A9DCDBB24ABB653D16D262C6C2CACC06</t>
  </si>
  <si>
    <t>JChemExcelNwAAAB+LCAAAAAAABADtvQdgHEmWJSYvbcp7f0r1StfgdKEIgGATJNiQQBDswYjN5pLsHWlHIymrKoHKZVZlXWYWQMztnbz33nvvvffee++997o7nU4n99//P1xmZAFs9s5K2smeIYCqyB8/fnwfPyJOTrZO7ix3l9Pp3nRrOt1aTnf37kzvTfHcu3Oy9dmXd15Qmxf7Jydfnpzs35nepy+a+/8PwNUx5DcAAAA=</t>
  </si>
  <si>
    <t>5AFE346CEF639C79D42A813E6F29B195</t>
  </si>
  <si>
    <t>JChemExcelTwAAAB+LCAAAAAAABADtvQdgHEmWJSYvbcp7f0r1StfgdKEIgGATJNiQQBDswYjN5pLsHWlHIymrKoHKZVZlXWYWQMztnbz33nvvvffee++997o7nU4n99//P1xmZAFs9s5K2smeIYCqyB8/fnwfPyJOprvT6dZ0Ot092frsyzsvTqZ79Me9J1tf3vnyZOvkDv1vem+6d+dk/7MX+GD/ztb0Pr1xUt6Zbj27I7/cv3NCv9P/nv0/mqdFa08AAAA=</t>
  </si>
  <si>
    <t>3090BDC7E33DE5CA6DBBD4B41591E08E</t>
  </si>
  <si>
    <t>JChemExcelMQAAAB+LCAAAAAAABADtvQdgHEmWJSYvbcp7f0r1StfgdKEIgGATJNiQQBDswYjN5pLsHWlHIymrKoHKZVZlXWYWQMztnbz33nvvvffee++997o7nU4n99//P1xmZAFs9s5K2smeIYCqyB8/fnwfPyJOTr6c7k6n073pdIt/7N6Z3lsut05O9k9OXmyd3KFf7kzvL6fL6dYL+ur+/wMBKmAhMQAAAA==</t>
  </si>
  <si>
    <t>005423D76BD39C7A3751EA7AE7DAF57E</t>
  </si>
  <si>
    <t>JChemExcelKgAAAB+LCAAAAAAABADtvQdgHEmWJSYvbcp7f0r1StfgdKEIgGATJNiQQBDswYjN5pLsHWlHIymrKoHKZVZlXWYWQMztnbz33nvvvffee++997o7nU4n99//P1xmZAFs9s5K2smeIYCqyB8/fnwfPyJOyunulJ69Zrq1nO7u3XmxdXJysrw3nS6n9+6cbH325Z3pfkUN9v8fDdwcvSoAAAA=</t>
  </si>
  <si>
    <t>A1D3CE2E6B8224235AF77B0E6CFA0D99</t>
  </si>
  <si>
    <t>JChemExcelKAAAAB+LCAAAAAAABADtvQdgHEmWJSYvbcp7f0r1StfgdKEIgGATJNiQQBDswYjN5pLsHWlHIymrKoHKZVZlXWYWQMztnbz33nvvvffee++997o7nU4n99//P1xmZAFs9s5K2smeIYCqyB8/fnwfPyJOvpzuTpfT6dZ09850j39b7t15ce/k5MXWycm9O9P9KT7c/38AtzeVYigAAAA=</t>
  </si>
  <si>
    <t>D8704E1A317C18B9526A3E8C88DFF8EA</t>
  </si>
  <si>
    <t>JChemExcelJwAAAB+LCAAAAAAABADtvQdgHEmWJSYvbcp7f0r1StfgdKEIgGATJNiQQBDswYjN5pLsHWlHIymrKoHKZVZlXWYWQMztnbz33nvvvffee++997o7nU4n99//P1xmZAFs9s5K2smeIYCqyB8/fnwfPyJOvpzuTqfTrel0987J3tYJPXt3TrY++/LOi+k9fPGkvjOd3vt/AAxJf5knAAAA</t>
  </si>
  <si>
    <t>89C6CCEF3B95EB36A77D9AE6AEB35F41</t>
  </si>
  <si>
    <t>JChemExcelKgAAAB+LCAAAAAAABADtvQdgHEmWJSYvbcp7f0r1StfgdKEIgGATJNiQQBDswYjN5pLsHWlHIymrKoHKZVZlXWYWQMztnbz33nvvvffee++997o7nU4n99//P1xmZAFs9s5K2smeIYCqyB8/fnwfPyJOprvVdOvFydZnX96Z7k2XW0v6994Uz72TO9N9/m3/znK5+/8AS1Qo9ioAAAA=</t>
  </si>
  <si>
    <t>AB6715E78904180FA3D5866876D815BA</t>
  </si>
  <si>
    <t>JChemExcelKQAAAB+LCAAAAAAABADtvQdgHEmWJSYvbcp7f0r1StfgdKEIgGATJNiQQBDswYjN5pLsHWlHIymrKoHKZVZlXWYWQMztnbz33nvvvffee++997o7nU4n99//P1xmZAFs9s5K2smeIYCqyB8/fnwfPyJOTrZO7tD/lrvL6dbJdG9Kzz38M927d2e6P916cWc5XU539/8feTZS9ikAAAA=</t>
  </si>
  <si>
    <t>92413F9EAA8DC7AD4D31DA7CCE93F156</t>
  </si>
  <si>
    <t>JChemExcelOAAAAB+LCAAAAAAABADtvQdgHEmWJSYvbcp7f0r1StfgdKEIgGATJNiQQBDswYjN5pLsHWlHIymrKoHKZVZlXWYWQMztnbz33nvvvffee++997o7nU4n99//P1xmZAFs9s5K2smeIYCqyB8/fnwfPyJOvjzZ+uzLO9Pd6XS69ezOdLr74jU+4A/3pvh0undnem+6XG6dTPfxwXT/zvTe/wNLogugOAAAAA==</t>
  </si>
  <si>
    <t>D62818B901F7BEA7DAE28D31C38270C4</t>
  </si>
  <si>
    <t>JChemExcelLwAAAB+LCAAAAAAABADtvQdgHEmWJSYvbcp7f0r1StfgdKEIgGATJNiQQBDswYjN5pLsHWlHIymrKoHKZVZlXWYWQMztnbz33nvvvffee++997o7nU4n99//P1xmZAFs9s5K2smeIYCqyB8/fnwfPyJOprvT6XTry+kefrw42frsyzsnL6b3pnjuvdg/oWefPptO9+j/u/8PgznEMi8AAAA=</t>
  </si>
  <si>
    <t>AC4F0E01DEBDFDDD41054251E0A6CC52</t>
  </si>
  <si>
    <t>JChemExcelIQAAAB+LCAAAAAAABADtvQdgHEmWJSYvbcp7f0r1StfgdKEIgGATJNiQQBDswYjN5pLsHWlHIymrKoHKZVZlXWYWQMztnbz33nvvvffee++997o7nU4n99//P1xmZAFs9s5K2smeIYCqyB8/fnwfPyJOXmyd3Dk5eTHdXU6X073pvemUPphOp/e+t/z296e7e/8Pov/m0iEAAAA=</t>
  </si>
  <si>
    <t>FB0641FEC022114D13A881BA6C068F16</t>
  </si>
  <si>
    <t>JChemExcelNgAAAB+LCAAAAAAABADtvQdgHEmWJSYvbcp7f0r1StfgdKEIgGATJNiQQBDswYjN5pLsHWlHIymrKoHKZVZlXWYWQMztnbz33nvvvffee++997o7nU4n99//P1xmZAFs9s5K2smeIYCqyB8/fnwfPyJOXm999uUd/P/F7snJydbJcm853TqZ3pvSs49/pvf270zvT7de3FlOl9O9+3dOTnb/H1J1xAk2AAAA</t>
  </si>
  <si>
    <t>6001D80A5F629C386322F88CF8FC84D5</t>
  </si>
  <si>
    <t>JChemExcelOwAAAB+LCAAAAAAABADtvQdgHEmWJSYvbcp7f0r1StfgdKEIgGATJNiQQBDswYjN5pLsHWlHIymrKoHKZVZlXWYWQMztnbz33nvvvffee++997o7nU4n99//P1xmZAFs9s5K2smeIYCqyB8/fnwfPyJOTqa7Uzy7y73p1smd6fLedP9k67Mv77zYOsF/d+g//Pml/nyBRvvL6d69/wel7/+kOwAAAA==</t>
  </si>
  <si>
    <t>5142BF5E909AB8E98894DE64D5BD7900</t>
  </si>
  <si>
    <t>JChemExcelLwAAAB+LCAAAAAAABADtvQdgHEmWJSYvbcp7f0r1StfgdKEIgGATJNiQQBDswYjN5pLsHWlHIymrKoHKZVZlXWYWQMztnbz33nvvvffee++997o7nU4n99//P1xmZAFs9s5K2smeIYCqyB8/fnwfPyJOTr6c7k6n063pdPfOdG853XpxsvXZl3dOXuNf/H96b4rn3p1munfy/wCU2hl7LwAAAA==</t>
  </si>
  <si>
    <t>B61BB7CA999CC0C65AD950713FD03E97</t>
  </si>
  <si>
    <t>JChemExcelKQAAAB+LCAAAAAAABADtvQdgHEmWJSYvbcp7f0r1StfgdKEIgGATJNiQQBDswYjN5pLsHWlHIymrKoHKZVZlXWYWQMztnbz33nvvvffee++997o7nU4n99//P1xmZAFs9s5K2smeIYCqyB8/fnwfPyJOTr6c7k7x7J5sffblnRfTPfyxNd27M723nO4v6Y/l/vTeyf8DB80peCkAAAA=</t>
  </si>
  <si>
    <t>DC6D6574F55C290C92E5079D13D45CB3</t>
  </si>
  <si>
    <t>JChemExcelKAAAAB+LCAAAAAAABADtvQdgHEmWJSYvbcp7f0r1StfgdKEIgGATJNiQQBDswYjN5pLsHWlHIymrKoHKZVZlXWYWQMztnbz33nvvvffee++997o7nU4n99//P1xmZAFs9s5K2smeIYCqyB8/fnwfPyK+PDl5Md2dTqdb0+nunZOtz768c7J38r2T3/Pb39+b3sPnJ+Wd6fTe/wNCOs2jKAAAAA==</t>
  </si>
  <si>
    <t>9EFFDA3933A812E61915E8E06E8AA21D</t>
  </si>
  <si>
    <t>JChemExcelKwAAAB+LCAAAAAAABADtvQdgHEmWJSYvbcp7f0r1StfgdKEIgGATJNiQQBDswYjN5pLsHWlHIymrKoHKZVZlXWYWQMztnbz33nvvvffee++997o7nU4n99//P1xmZAFs9s5K2smeIYCqyB8/fnwfPyJOTnZPXm999uUd/P/k5MXu7/vis5Pfd7pXTbem070733vxyffxzfe+3P7+/wOlQrNnKwAAAA==</t>
  </si>
  <si>
    <t>CB764B58FB38E633E6CD349F71AC0C4D</t>
  </si>
  <si>
    <t>JChemExcelHgAAAB+LCAAAAAAABADtvQdgHEmWJSYvbcp7f0r1StfgdKEIgGATJNiQQBDswYjN5pLsHWlHIymrKoHKZVZlXWYWQMztnbz33nvvvffee++997o7nU4n99//P1xmZAFs9s5K2smeIYCqyB8/fnwfPyJenGx99uWd6e50uvWkvjOdTne/PDn5cro3xbP3/wDhM0WcHgAAAA==</t>
  </si>
  <si>
    <t>78CD5B893A95E0163CE3635A6D1FA0A7</t>
  </si>
  <si>
    <t>JChemExcelNwAAAB+LCAAAAAAABADtvQdgHEmWJSYvbcp7f0r1StfgdKEIgGATJNiQQBDswYjN5pLsHWlHIymrKoHKZVZlXWYWQMztnbz33nvvvffee++997o7nU4n99//P1xmZAFs9s5K2smeIYCqyB8/fnwfPyK+PPneye/57e/vnrzYOtn67Ms7X+7eme5Np1vP7ky3Tu59doLPp/tTPPt3Tk7u3eGv9v4fRCalIDcAAAA=</t>
  </si>
  <si>
    <t>3A3487A867807EC0D7050C6D17813A72</t>
  </si>
  <si>
    <t>JChemExcelLwAAAB+LCAAAAAAABADtvQdgHEmWJSYvbcp7f0r1StfgdKEIgGATJNiQQBDswYjN5pLsHWlHIymrKoHKZVZlXWYWQMztnbz33nvvvffee++997o7nU4n99//P1xmZAFs9s5K2smeIYCqyB8/fnwfPyJO6HmxhX/vTHenW1P8b/fkx1/ceb312Zd38P8X070pnr07Jz/+4v8BC5IXHC8AAAA=</t>
  </si>
  <si>
    <t>4E6CDECDD679BDA3CCAB58422E8A2A56</t>
  </si>
  <si>
    <t>JChemExcelKQAAAB+LCAAAAAAABADtvQdgHEmWJSYvbcp7f0r1StfgdKEIgGATJNiQQBDswYjN5pLsHWlHIymrKoHKZVZlXWYWQMztnbz33nvvvffee++997o7nU4n99//P1xmZAFs9s5K2smeIYCqyB8/fnwfPyK+/Oxk68XJyXR3imf3znRvOt2aLqd79OE9+t+d6T59vpzu/z/qXGrGKQAAAA==</t>
  </si>
  <si>
    <t>E434341851CB6D49098895531885FE3D</t>
  </si>
  <si>
    <t>JChemExcelLwAAAB+LCAAAAAAABADtvQdgHEmWJSYvbcp7f0r1StfgdKEIgGATJNiQQBDswYjN5pLsHWlHIymrKoHKZVZlXWYWQMztnbz33nvvvffee++997o7nU4n99//P1xmZAFs9s5K2smeIYCqyB8/fnwfPyJOvpzuTqdb0+l0d7lHvyyXe3em9+hP+uzenZP9z16cnLzYv3Nyn3+5//8AAqGoGS8AAAA=</t>
  </si>
  <si>
    <t>019CF6DF68493F37F363DB99516879A2</t>
  </si>
  <si>
    <t>JChemExcelOQAAAB+LCAAAAAAABADtvQdgHEmWJSYvbcp7f0r1StfgdKEIgGATJNiQQBDswYjN5pLsHWlHIymrKoHKZVZlXWYWQMztnbz33nvvvffee++997o7nU4n99//P1xmZAFs9s5K2smeIYCqyB8/fnwfPyKenWw9u0P/m+5Op9Ot6XT3zoutk72TE/r3ZO/O9B5/urx3R5tRw336aDnd/38ArGe87jkAAAA=</t>
  </si>
  <si>
    <t>B36C7D9BF8560B31EC6726C5769C7423</t>
  </si>
  <si>
    <t>JChemExcelLwAAAB+LCAAAAAAABADtvQdgHEmWJSYvbcp7f0r1StfgdKEIgGATJNiQQBDswYjN5pLsHWlHIymrKoHKZVZlXWYWQMztnbz33nvvvffee++997o7nU4n99//P1xmZAFs9s5K2smeIYCqyB8/fnwfPyJOvpzuTunZOjnZ+uzLOy/2TuiXk5O9O8t79Nmd5XQfXz67M53e278z3f1/AHznjFMvAAAA</t>
  </si>
  <si>
    <t>235F5E3B82173E26105821445D89AAAE</t>
  </si>
  <si>
    <t>JChemExcelLAAAAB+LCAAAAAAABADtvQdgHEmWJSYvbcp7f0r1StfgdKEIgGATJNiQQBDswYjN5pLsHWlHIymrKoHKZVZlXWYWQMztnbz33nvvvffee++997o7nU4n99//P1xmZAFs9s5K2smeIYCqyB8/fnwfPyJOTrZebJ3cme4up9O96daLO0v5Z2+5e2d6bzrdOinv6L/3/h8q4kSiLAAAAA==</t>
  </si>
  <si>
    <t>06DFCE685DD194FB1E6493C253E011B9</t>
  </si>
  <si>
    <t>JChemExcelKgAAAB+LCAAAAAAABADtvQdgHEmWJSYvbcp7f0r1StfgdKEIgGATJNiQQBDswYjN5pLsHWlHIymrKoHKZVZlXWYWQMztnbz33nvvvffee++997o7nU4n99//P1xmZAFs9s5K2smeIYCqyB8/fnwfPyJOprvT5XTr5OTFydZnX96Z7k2nW9Nm78703pR+OynvTKf37nxv+e3v7/4/i1swpSoAAAA=</t>
  </si>
  <si>
    <t>33A06D675981EFB97646E2377A1B0B5D</t>
  </si>
  <si>
    <t>JChemExcelGQAAAB+LCAAAAAAABADtvQdgHEmWJSYvbcp7f0r1StfgdKEIgGATJNiQQBDswYjN5pLsHWlHIymrKoHKZVZlXWYWQMztnbz33nvvvffee++997o7nU4n99//P1xmZAFs9s5K2smeIYCqyB8/fnwfPyJOprvT6daXd5bTreXuneUe/Ty5M53unfw/hhYoMRkAAAA=</t>
  </si>
  <si>
    <t>8DDEB050DEE822E592330E4A8C13CCE2</t>
  </si>
  <si>
    <t>JChemExcelLQAAAB+LCAAAAAAABADtvQdgHEmWJSYvbcp7f0r1StfgdKEIgGATJNiQQBDswYjN5pLsHWlHIymrKoHKZVZlXWYWQMztnbz33nvvvffee++997o7nU4n99//P1xmZAFs9s5K2smeIYCqyB8/fnwfPyJOprtTPLsnL/ZOTk62vryzdXKyd2d6jz7bOinvTLem9+6cbD27Q/979v8AEdSnFy0AAAA=</t>
  </si>
  <si>
    <t>DA1390A9A976ACB4255A6B58C74FEE16</t>
  </si>
  <si>
    <t>JChemExcelLwAAAB+LCAAAAAAABADtvQdgHEmWJSYvbcp7f0r1StfgdKEIgGATJNiQQBDswYjN5pLsHWlHIymrKoHKZVZlXWYWQMztnbz33nvvvffee++997o7nU4n99//P1xmZAFs9s5K2smeIYCqyB8/fnwfPyJOTra+nO5O6dk6Ke9Md++cbH325Z0X/NFeNd1aTvfow238vZxOd/8fAhrYiC8AAAA=</t>
  </si>
  <si>
    <t>F85DD4A39D17C5508BC0C5CA07739298</t>
  </si>
  <si>
    <t>JChemExcelLwAAAB+LCAAAAAAABADtvQdgHEmWJSYvbcp7f0r1StfgdKEIgGATJNiQQBDswYjN5pLsHWlHIymrKoHKZVZlXWYWQMztnbz33nvvvffee++997o7nU4n99//P1xmZAFs9s5K2smeIYCqyB8/fnwfPyJOXmyd3Dk5eXGy9dmXd17snpzgg5PdO9O95XQ5vTedbjXTvXt3pvtTPPv/Dwwd+80vAAAA</t>
  </si>
  <si>
    <t>52AC4EE1EE9D213CA713C65AB89D5DB9</t>
  </si>
  <si>
    <t>JChemExcelJgAAAB+LCAAAAAAABADtvQdgHEmWJSYvbcp7f0r1StfgdKEIgGATJNiQQBDswYjN5pLsHWlHIymrKoHKZVZlXWYWQMztnbz33nvvvffee++997o7nU4n99//P1xmZAFs9s5K2smeIYCqyB8/fnwfPyJOyunudDrd+/Lk5MXW9B79utXcu3Oy9dmXd16c7J+c7N+Z7k13/x/5LGQ7JgAAAA==</t>
  </si>
  <si>
    <t>44183BA645424B3C0A22BF19CC520E9D</t>
  </si>
  <si>
    <t>JChemExcelKgAAAB+LCAAAAAAABADtvQdgHEmWJSYvbcp7f0r1StfgdKEIgGATJNiQQBDswYjN5pLsHWlHIymrKoHKZVZlXWYWQMztnbz33nvvvffee++997o7nU4n99//P1xmZAFs9s5K2smeIYCqyB8/fnwfPyJOXuyenLzYOjnZvTPdm063lvS/vTvTe9Ppcjq9d2e6P6UPn92ZTvf/HyNBAoMqAAAA</t>
  </si>
  <si>
    <t>FB96EFBE21EC53CEA38F523AA8FAA5BD</t>
  </si>
  <si>
    <t>JChemExcelLgAAAB+LCAAAAAAABADtvQdgHEmWJSYvbcp7f0r1StfgdKEIgGATJNiQQBDswYjN5pLsHWlHIymrKoHKZVZlXWYWQMztnbz33nvvvffee++997o7nU4n99//P1xmZAFs9s5K2smeIYCqyB8/fnwfPyK+/Oxk62T35OTF1snJ7p3p3nS6tZwu9+4s703puXfnxf7JyfQ+fp/eP9n/fwDG6+qHLgAAAA==</t>
  </si>
  <si>
    <t>B4A1C69FEC1A290C320E24B5C1B2EC03</t>
  </si>
  <si>
    <t>JChemExcelLwAAAB+LCAAAAAAABADtvQdgHEmWJSYvbcp7f0r1StfgdKEIgGATJNiQQBDswYjN5pLsHWlHIymrKoHKZVZlXWYWQMztnbz33nvvvffee++997o7nU4n99//P1xmZAFs9s5K2smeIYCqyB8/fnwfPyJOvpzuTqdb0yn92Jsut5bLvTvTe/QnfXbvzsn+Zy9OTl7s3zm5z7/c/38AyM71RS8AAAA=</t>
  </si>
  <si>
    <t>B3118C8A3F025AE5FE429BBFC287238C</t>
  </si>
  <si>
    <t>JChemExcelMwAAAB+LCAAAAAAABADtvQdgHEmWJSYvbcp7f0r1StfgdKEIgGATJNiQQBDswYjN5pLsHWlHIymrKoHKZVZlXWYWQMztnbz33nvvvffee++997o7nU4n99//P1xmZAFs9s5K2smeIYCqyB8/fnwfPyJOvnfye/6e3/7+1ovdE3rkj93p3nQ63fryZHpvil+e3ZneuzOd7t052frsyzsv/h/BYikZMwAAAA==</t>
  </si>
  <si>
    <t>77783CF02A7D45D68F4964591D2EFDE4</t>
  </si>
  <si>
    <t>JChemExcelIgAAAB+LCAAAAAAABADtvQdgHEmWJSYvbcp7f0r1StfgdKEIgGATJNiQQBDswYjN5pLsHWlHIymrKoHKZVZlXWYWQMztnbz33nvvvffee++997o7nU4n99//P1xmZAFs9s5K2smeIYCqyB8/fnwfPyJOprvL5d5068s703sn9EzvLad7093p/nQ63Xp2Zzrd/38ArMNLFSIAAAA=</t>
  </si>
  <si>
    <t>BE0F8FD13B9E4B2462BE4C853437E456</t>
  </si>
  <si>
    <t>JChemExcelNwAAAB+LCAAAAAAABADtvQdgHEmWJSYvbcp7f0r1StfgdKEIgGATJNiQQBDswYjN5pLsHWlHIymrKoHKZVZlXWYWQMztnbz33nvvvffee++997o7nU4n99//P1xmZAFs9s5K2smeIYCqyB8/fnwfPyJOXm999uUd/P/F7snJydbJyXJvOd06md6b0rOPf6b39u/Qn1sv7iyny+nevTsnJ7v/D98xUb43AAAA</t>
  </si>
  <si>
    <t>16A7DDDFF20C68EC6DFB4AECBF950146</t>
  </si>
  <si>
    <t>JChemExcelKgAAAB+LCAAAAAAABADtvQdgHEmWJSYvbcp7f0r1StfgdKEIgGATJNiQQBDswYjN5pLsHWlHIymrKoHKZVZlXWYWQMztnbz33nvvvffee++997o7nU4n99//P1xmZAFs9s5K2smeIYCqyB8/fnwfPyJeTHeX0+V0b7l1cnLv5OQF/XtnOd3ant6jT/enePan9+5Md/f+Hwv5VzMqAAAA</t>
  </si>
  <si>
    <t>4679706214D21B359183386472501436</t>
  </si>
  <si>
    <t>JChemExcelKwAAAB+LCAAAAAAABADtvQdgHEmWJSYvbcp7f0r1StfgdKEIgGATJNiQQBDswYjN5pLsHWlHIymrKoHKZVZlXWYWQMztnbz33nvvvffee++997o7nU4n99//P1xmZAFs9s5K2smeIYCqyB8/fnwfPyK+PNn67Ms7090pPXvVdGs53d27M72HP6f3XsiX+/zX/v8DeikCVSsAAAA=</t>
  </si>
  <si>
    <t>21E91594C8605641C5AF6DA0F65EC04F</t>
  </si>
  <si>
    <t>JChemExcelLQAAAB+LCAAAAAAABADtvQdgHEmWJSYvbcp7f0r1StfgdKEIgGATJNiQQBDswYjN5pLsHWlHIymrKoHKZVZlXWYWQMztnbz33nvvvffee++997o7nU4n99//P1xmZAFs9s5K2smeIYCqyB8/fnwfPyJOTr6c7k6n073pdGu6pB+7d6b3lsut6dYL+uVk67Mv77y4c7J1cof+d/L/AM8UaxItAAAA</t>
  </si>
  <si>
    <t>0E0EC85F448DF896BDDB125D57C28AE2</t>
  </si>
  <si>
    <t>JChemExcelKwAAAB+LCAAAAAAABADtvQdgHEmWJSYvbcp7f0r1StfgdKEIgGATJNiQQBDswYjN5pLsHWlHIymrKoHKZVZlXWYWQMztnbz33nvvvffee++997o7nU4n99//P1xmZAFs9s5K2smeIYCqyB8/fnwfPyJOTk62XpxsffblnenuFM+u/rVHv2+d3JlO9+7wB1+e/D/iRTH2KwAAAA==</t>
  </si>
  <si>
    <t>A3C6BBCFD9BB8EAFED73843E1D85147B</t>
  </si>
  <si>
    <t>JChemExcelMAAAAB+LCAAAAAAABADtvQdgHEmWJSYvbcp7f0r1StfgdKEIgGATJNiQQBDswYjN5pLsHWlHIymrKoHKZVZlXWYWQMztnbz33nvvvffee++997o7nU4n99//P1xmZAFs9s5K2smeIYCqyB8/fnwfPyJOTrZO7pxsvTjZ+uzLOyfT3Sk9e/hnurt3hz98Mb2HP7em9+6c/PiL/weboS/pMAAAAA==</t>
  </si>
  <si>
    <t>CE00C56508D95A456558255215D65670</t>
  </si>
  <si>
    <t>JChemExcelOAAAAB+LCAAAAAAABADtvQdgHEmWJSYvbcp7f0r1StfgdKEIgGATJNiQQBDswYjN5pLsHWlHIymrKoHKZVZlXWYWQMztnbz33nvvvffee++997o7nU4n99//P1xmZAFs9s5K2smeIYCqyB8/fnwfPyJOXm999uUd/H+6O6Vna7p7Z7o3XU7vfW/57e/j7318enJygjbUarp/Z3pvuvf/ABpa7OI4AAAA</t>
  </si>
  <si>
    <t>9597A9BE8543DDA07131440B91AE0040</t>
  </si>
  <si>
    <t>JChemExcelMwAAAB+LCAAAAAAABADtvQdgHEmWJSYvbcp7f0r1StfgdKEIgGATJNiQQBDswYjN5pLsHWlHIymrKoHKZVZlXWYWQMztnbz33nvvvffee++997o7nU4n99//P1xmZAFs9s5K2smeIYCqyB8/fnwfPyJOtk52T05277zYO5nem+K59+XJ/tbJyYutk+n96feW3/7+9NPpkj6//+mdk5P9Oyd7/w9lJAKqMwAAAA==</t>
  </si>
  <si>
    <t>613793C49DEAD319ECD2DA8E78EE5F5D</t>
  </si>
  <si>
    <t>JChemExcelLwAAAB+LCAAAAAAABADtvQdgHEmWJSYvbcp7f0r1StfgdKEIgGATJNiQQBDswYjN5pLsHWlHIymrKoHKZVZlXWYWQMztnbz33nvvvffee++997o7nU4n99//P1xmZAFs9s5K2smeIYCqyB8/fnwfPyJOvpzuTqfTrZPyznS6++Jk67Mv75y82Dq5w79N96bL5dZy78703hTPvf8HnkIQwC8AAAA=</t>
  </si>
  <si>
    <t>D9352550AF61D702583DEEEF347D4BAD</t>
  </si>
  <si>
    <t>JChemExcelIwAAAB+LCAAAAAAABADtvQdgHEmWJSYvbcp7f0r1StfgdKEIgGATJNiQQBDswYjN5pLsHWlHIymrKoHKZVZlXWYWQMztnbz33nvvvffee++997o7nU4n99//P1xmZAFs9s5K2smeIYCqyB8/fnwfPyJOTl5snZzcOeHnxXR3Ot368uTOdLo33cKP5XR37/8Bgyqt4SMAAAA=</t>
  </si>
  <si>
    <t>358EC771D522C549E30D0C9D2B067D0C</t>
  </si>
  <si>
    <t>JChemExcelIQAAAB+LCAAAAAAABADtvQdgHEmWJSYvbcp7f0r1StfgdKEIgGATJNiQQBDswYjN5pLsHWlHIymrKoHKZVZlXWYWQMztnbz33nvvvffee++997o7nU4n99//P1xmZAFs9s5K2smeIYCqyB8/fnwfPyJenGx99uLOdHc6nW5Np7t3pnv0S7XcuzO9N8Vz7/8Bay6A5yEAAAA=</t>
  </si>
  <si>
    <t>D91EC53E4CC25E5CCEEDCCCB6B64B211</t>
  </si>
  <si>
    <t>JChemExcelHAAAAB+LCAAAAAAABADtvQdgHEmWJSYvbcp7f0r1StfgdKEIgGATJNiQQBDswYjN5pLsHWlHIymrKoHKZVZlXWYWQMztnbz33nvvvffee++997o7nU4n99//P1xmZAFs9s5K2smeIYCqyB8/fnwfPyJOXm999uUd/P/kZPezF9O9KZ69L+mPL/8f5euqeRwAAAA=</t>
  </si>
  <si>
    <t>8040E16E39D981203B36A84E6283D2C0</t>
  </si>
  <si>
    <t>JChemExcelKQAAAB+LCAAAAAAABADtvQdgHEmWJSYvbcp7f0r1StfgdKEIgGATJNiQQBDswYjN5pLsHWlHIymrKoHKZVZlXWYWQMztnbz33nvvvffee++997o7nU4n99//P1xmZAFs9s5K2smeIYCqyB8/fnwfPyK+/Oxk68XJyXR3+r3lt78/3Zvi2d27c3Lvs5PpPv+1/yX98eX/AyxW/iUpAAAA</t>
  </si>
  <si>
    <t>CE0A71183FB8F2D29DAD74A0D1FA1456</t>
  </si>
  <si>
    <t>JChemExcelLAAAAB+LCAAAAAAABADtvQdgHEmWJSYvbcp7f0r1StfgdKEIgGATJNiQQBDswYjN5pLsHWlHIymrKoHKZVZlXWYWQMztnbz33nvvvffee++997o7nU4n99//P1xmZAFs9s5K2smeIYCqyB8/fnwfPyJevN767Ms7+P90d0rP1nT3znSPfrm3pD+W03vTvTsv9k9Ovjw52f9/AOD6Z0UsAAAA</t>
  </si>
  <si>
    <t>958F1AF98B83F351768C5C2CABA6EBFA</t>
  </si>
  <si>
    <t>JChemExcelMQAAAB+LCAAAAAAABADtvQdgHEmWJSYvbcp7f0r1StfgdKEIgGATJNiQQBDswYjN5pLsHWlHIymrKoHKZVZlXWYWQMztnbz33nvvvffee++997o7nU4n99//P1xmZAFs9s5K2smeIYCqyB8/fnwfPyJenGx99uLOi+nudDrdmm6dlHemu3emexX9Md27M72Hj7XNnen03kn5/wByX7fdMQAAAA==</t>
  </si>
  <si>
    <t>35C473BE11C26D7761A37DC445BA4C4A</t>
  </si>
  <si>
    <t>JChemExcelKQAAAB+LCAAAAAAABADtvQdgHEmWJSYvbcp7f0r1StfgdKEIgGATJNiQQBDswYjN5pLsHWlHIymrKoHKZVZlXWYWQMztnbz33nvvvffee++997o7nU4n99//P1xmZAFs9s5K2smeIYCqyB8/fnwfPyJOvpzuTqfTrel0986LrZOT6d4Uf57cWe7dOdn67Ms7J/dO8Nz7fwDHXfePKQAAAA==</t>
  </si>
  <si>
    <t>C5730D8212142411B6D35D6E6F09EAA1</t>
  </si>
  <si>
    <t>JChemExcelKwAAAB+LCAAAAAAABADtvQdgHEmWJSYvbcp7f0r1StfgdKEIgGATJNiQQBDswYjN5pLsHWlHIymrKoHKZVZlXWYWQMztnbz33nvvvffee++997o7nU4n99//P1xmZAFs9s5K2smeIYCqyB8/fnwfPyJOTnY/e/Fi62Trsy/vnOyeTPem9NzDP9O9e3em+8vpff7jfrP//wD75b/tKwAAAA==</t>
  </si>
  <si>
    <t>0E2CB184CD468034C9C10FF96FAA1C8B</t>
  </si>
  <si>
    <t>JChemExcelJQAAAB+LCAAAAAAABADtvQdgHEmWJSYvbcp7f0r1StfgdKEIgGATJNiQQBDswYjN5pLsHWlHIymrKoHKZVZlXWYWQMztnbz33nvvvffee++997o7nU4n99//P1xmZAFs9s5K2smeIYCqyB8/fnwfPyJOprtTPLsnW599eefF3ovPTrZeTO/xZ/fuvD7Z2zq5c/L/AHCXkX4lAAAA</t>
  </si>
  <si>
    <t>163EBDECF47EA4A07EAC8E62B7BDF793</t>
  </si>
  <si>
    <t>JChemExcelRQAAAB+LCAAAAAAABADtvQdgHEmWJSYvbcp7f0r1StfgdKEIgGATJNiQQBDswYjN5pLsHWlHIymrKoHKZVZlXWYWQMztnbz33nvvvffee++997o7nU4n99//P1xmZAFs9s5K2smeIYCqyB8/fnwfPyK+/Oxk68XuycmLrZOTvc9OTvDn663PvryzdXJP/jy5Q//eu0Mf0c+9Oycnu3dO9umrrZMff3GHm+z/P40poU1FAAAA</t>
  </si>
  <si>
    <t>298D2AF858C604334882AE4335C5850C</t>
  </si>
  <si>
    <t>JChemExcelRgAAAB+LCAAAAAAABADtvQdgHEmWJSYvbcp7f0r1StfgdKEIgGATJNiQQBDswYjN5pLsHWlHIymrKoHKZVZlXWYWQMztnbz33nvvvffee++997o7nU4n99//P1xmZAFs9s5K2smeIYCqyB8/fnwfPyK+/Oxk68XuycmLrZOTvc9OTvDn663PvryzdXJP/vzy5A79uHeHPqOfe3dOTnbvnOzTd1snP/7iDrfZ/38ANGt8REYAAAA=</t>
  </si>
  <si>
    <t>847814DA735FEBF7CD9FC098068CAEC3</t>
  </si>
  <si>
    <t>JChemExcelLAAAAB+LCAAAAAAABADtvQdgHEmWJSYvbcp7f0r1StfgdKEIgGATJNiQQBDswYjN5pLsHWlHIymrKoHKZVZlXWYWQMztnbz33nvvvffee++997o7nU4n99//P1xmZAFs9s5K2smeIYCqyB8/fnwfPyJOvpzuTqfTrZMXeyf0+z38Pp3eO9m7c7J1cmfryzsnL+jnyZ3pdPfk/wFc89uiLAAAAA==</t>
  </si>
  <si>
    <t>DB4F4169C646E038B481D97AFD4D91A6</t>
  </si>
  <si>
    <t>JChemExcelLAAAAB+LCAAAAAAABADtvQdgHEmWJSYvbcp7f0r1StfgdKEIgGATJNiQQBDswYjN5pLsHWlHIymrKoHKZVZlXWYWQMztnbz33nvvvffee++997o7nU4n99//P1xmZAFs9s5K2smeIYCqyB8/fnwfPyJOvpzuTqdb0+l098s70z38upzuvbgzvTflj+/deb312Zd38P+T/wevNOuCLAAAAA==</t>
  </si>
  <si>
    <t>287D8A90096D857351BA967C3748F32C</t>
  </si>
  <si>
    <t>JChemExcelJwAAAB+LCAAAAAAABADtvQdgHEmWJSYvbcp7f0r1StfgdKEIgGATJNiQQBDswYjN5pLsHWlHIymrKoHKZVZlXWYWQMztnbz33nvvvffee++997o7nU4n99//P1xmZAFs9s5K2smeIYCqyB8/fnwfPyJOprvT6XRvOt06uffiZOuzL+9M96d49l/cu0MflneW9O3u/wOh1aiRJwAAAA==</t>
  </si>
  <si>
    <t>0A0BFAB758D541273C65E98BEF5BA689</t>
  </si>
  <si>
    <t>JChemExcelNAAAAB+LCAAAAAAABADtvQdgHEmWJSYvbcp7f0r1StfgdKEIgGATJNiQQBDswYjN5pLsHWlHIymrKoHKZVZlXWYWQMztnbz33nvvvffee++997o7nU4n99//P1xmZAFs9s5K2smeIYCqyB8/fnwfPyJOTl5snZzcOaGfu/L77p2Trc++vDPdm9KzNd27M723rKZby3v0+bM79L9n/w9/mSuyNAAAAA==</t>
  </si>
  <si>
    <t>4B37F97C05238BF971E8C824C9749DB4</t>
  </si>
  <si>
    <t>JChemExcelNgAAAB+LCAAAAAAABADtvQdgHEmWJSYvbcp7f0r1StfgdKEIgGATJNiQQBDswYjN5pLsHWlHIymrKoHKZVZlXWYWQMztnbz33nvvvffee++997o7nU4n99//P1xmZAFs9s5K2smeIYCqyB8/fnwfPyJOTrZO7tD/prvT6dbJ1mdf3nmxd3LyYuvkZO/O9N5yOl1O7538+Is7y62T6f4Uz/6d5e7/A3drSCg2AAAA</t>
  </si>
  <si>
    <t>E42A947A1E14F5FFBE31EC064FEA5ECF</t>
  </si>
  <si>
    <t>JChemExcelKgAAAB+LCAAAAAAABADtvQdgHEmWJSYvbcp7f0r1StfgdKEIgGATJNiQQBDswYjN5pLsHWlHIymrKoHKZVZlXWYWQMztnbz33nvvvffee++997o7nU4n99//P1xmZAFs9s5K2smeIYCqyB8/fnwfPyKenWw9u0P/m+5Op9Otkxd7J1uffXnn5MuT6T188KS+M53u3aN/dv8f/NqezSoAAAA=</t>
  </si>
  <si>
    <t>09F1665D2BC5546A9C1241F7BABB5083</t>
  </si>
  <si>
    <t>JChemExcelLgAAAB+LCAAAAAAABADtvQdgHEmWJSYvbcp7f0r1StfgdKEIgGATJNiQQBDswYjN5pLsHWlHIymrKoHKZVZlXWYWQMztnbz33nvvvffee++997o7nU4n99//P1xmZAFs9s5K2smeIYCqyB8/fnwfPyJOyunudDrdW063pvS/venunZOtz7688+Lk5MXuCT275tcvT052/x9xAjd3LgAAAA==</t>
  </si>
  <si>
    <t>98494A2F0F6B3A17789DA8B1C42DC61E</t>
  </si>
  <si>
    <t>JChemExcelKwAAAB+LCAAAAAAABADtvQdgHEmWJSYvbcp7f0r1StfgdKEIgGATJNiQQBDswYjN5pLsHWlHIymrKoHKZVZlXWYWQMztnbz33nvvvffee++997o7nU4n99//P1xmZAFs9s5K2smeIYCqyB8/fnwfPyJOTk52Pzs52frsyzsvtk7u0C8vdu+8PpFf6bPp3nQ63Xp2Zzrd+38AWbKmpisAAAA=</t>
  </si>
  <si>
    <t>2EA3E01343BB3073459E08A7197AE7E4</t>
  </si>
  <si>
    <t>JChemExcelJgAAAB+LCAAAAAAABADtvQdgHEmWJSYvbcp7f0r1StfgdKEIgGATJNiQQBDswYjN5pLsHWlHIymrKoHKZVZlXWYWQMztnbz33nvvvffee++997o7nU4n99//P1xmZAFs9s5K2smeIYCqyB8/fnwfPyKeTXen0+nWdLp752Trsy/vvNg6OXkx3Zvi2bszvce/3Pt/ABdcQTImAAAA</t>
  </si>
  <si>
    <t>EFC55E7A288E39239FACC654F6EBFDE1</t>
  </si>
  <si>
    <t>JChemExcelIgAAAB+LCAAAAAAABADtvQdgHEmWJSYvbcp7f0r1StfgdKEIgGATJNiQQBDswYjN5pLsHWlHIymrKoHKZVZlXWYWQMztnbz33nvvvffee++997o7nU4n99//P1xmZAFs9s5K2smeIYCqyB8/fnwfPyJeTHeX060Xd6Z703snJy+2Tqb7Uzz7d06m95rp3nL3/wEFBZZ8IgAAAA==</t>
  </si>
  <si>
    <t>49F60246DC277A01925FE78C0BFE8106</t>
  </si>
  <si>
    <t>JChemExcelLAAAAB+LCAAAAAAABADtvQdgHEmWJSYvbcp7f0r1StfgdKEIgGATJNiQQBDswYjN5pLsHWlHIymrKoHKZVZlXWYWQMztnbz33nvvvffee++997o7nU4n99//P1xmZAFs9s5K2smeIYCqyB8/fnwfPyJOvpzuTunZenGy9dmXd6Z703snJyfTe810Tz/Zp2+X0/07093/B6RoaKgsAAAA</t>
  </si>
  <si>
    <t>85B884AE5793AC8D1E9AA9C68285CAEF</t>
  </si>
  <si>
    <t>JChemExcelMwAAAB+LCAAAAAAABADtvQdgHEmWJSYvbcp7f0r1StfgdKEIgGATJNiQQBDswYjN5pLsHWlHIymrKoHKZVZlXWYWQMztnbz33nvvvffee++997o7nU4n99//P1xmZAFs9s5K2smeIYCqyB8/fnwfPyJOvpzuTqfTrel098uTO9O9ajndWu7dmd6b4tMXJ1uffXnnZLqPP57dmU7370zv/T9+WOBsMwAAAA==</t>
  </si>
  <si>
    <t>FB46A91FE6533452AE6AA8F54EF4A101</t>
  </si>
  <si>
    <t>JChemExcelJgAAAB+LCAAAAAAABADtvQdgHEmWJSYvbcp7f0r1StfgdKEIgGATJNiQQBDswYjN5pLsHWlHIymrKoHKZVZlXWYWQMztnbz33nvvvffee++997o7nU4n99//P1xmZAFs9s5K2smeIYCqyB8/fnwfPyJOprvT6dbJneke/fje8tvfp19275xsffblnRcn907kuff/ABruZtQmAAAA</t>
  </si>
  <si>
    <t>5E546CA8506AF5DE06483F06DF02FEE8</t>
  </si>
  <si>
    <t>JChemExcelIgAAAB+LCAAAAAAABADtvQdgHEmWJSYvbcp7f0r1StfgdKEIgGATJNiQQBDswYjN5pLsHWlHIymrKoHKZVZlXWYWQMztnbz33nvvvffee++997o7nU4n99//P1xmZAFs9s5K2smeIYCqyB8/fnwfPyJO6JnuTqfTreV0987J1mdf3nkx3VvSB/emePbu/T+ZokpMIgAAAA==</t>
  </si>
  <si>
    <t>070D8C9B17026970A44414526F347761</t>
  </si>
  <si>
    <t>JChemExcelMQAAAB+LCAAAAAAABADtvQdgHEmWJSYvbcp7f0r1StfgdKEIgGATJNiQQBDswYjN5pLsHWlHIymrKoHKZVZlXWYWQMztnbz33nvvvffee++997o7nU4n99//P1xmZAFs9s5K2smeIYCqyB8/fnwfPyJOvjzZ+uzLOye7n51sndx5QX/Qz93p3pSee8tqOd27d4dbfInvT+6c/D8XG4FdMQAAAA==</t>
  </si>
  <si>
    <t>045573CB5031C000D94BDC50C340720D</t>
  </si>
  <si>
    <t>JChemExcelKgAAAB+LCAAAAAAABADtvQdgHEmWJSYvbcp7f0r1StfgdKEIgGATJNiQQBDswYjN5pLsHWlHIymrKoHKZVZlXWYWQMztnbz33nvvvffee++997o7nU4n99//P1xmZAFs9s5K2smeIYCqyB8/fnwfPyJOvpzuTvHsnmyd3HlxcrL12Zd3Xkz3ptMt+nDvpLxzsvXsDv3v2f8DEsosTyoAAAA=</t>
  </si>
  <si>
    <t>84C0CF0BD80B16A0D28129791A3A67AB</t>
  </si>
  <si>
    <t>JChemExcelJwAAAB+LCAAAAAAABADtvQdgHEmWJSYvbcp7f0r1StfgdKEIgGATJNiQQBDswYjN5pLsHWlHIymrKoHKZVZlXWYWQMztnbz33nvvvffee++997o7nU4n99//P1xmZAFs9s5K2smeIYCqyB8/fnwfPyJeTHeX0+V0j3/snXzv5Pf8Pb/9/a0v79hfTrY++/LOl/8Po1CGNicAAAA=</t>
  </si>
  <si>
    <t>51BEA1AA567864D1052E9C448861BEF2</t>
  </si>
  <si>
    <t>JChemExcelPwAAAB+LCAAAAAAABADtvQdgHEmWJSYvbcp7f0r1StfgdKEIgGATJNiQQBDswYjN5pLsHWlHIymrKoHKZVZlXWYWQMztnbz33nvvvffee++997o7nU4n99//P1xmZAFs9s5K2smeIYCqyB8/fnwfPyJOvnfye/6e39/d+vIO//bt72+d7N6Z7i2nW9N70+l0n/6/taQf9+5M70/x3L8z/XS69eLOcjpd7n36/wBsZgjFPwAAAA==</t>
  </si>
  <si>
    <t>497B2DBFE41A7DB2EEFD1510503BB9B8</t>
  </si>
  <si>
    <t>JChemExcelKAAAAB+LCAAAAAAABADtvQdgHEmWJSYvbcp7f0r1StfgdKEIgGATJNiQQBDswYjN5pLsHWlHIymrKoHKZVZlXWYWQMztnbz33nvvvffee++997o7nU4n99//P1xmZAFs9s5K2smeIYCqyB8/fnwfPyJeTHen0+nWdLp752Trsy/vvJjuyd97d6b3qun+FM/+8t7/A0//G/AoAAAA</t>
  </si>
  <si>
    <t>2E77CE176D6D2F7F373D1D5E2E6D712C</t>
  </si>
  <si>
    <t>JChemExcelJQAAAB+LCAAAAAAABADtvQdgHEmWJSYvbcp7f0r1StfgdKEIgGATJNiQQBDswYjN5pLsHWlHIymrKoHKZVZlXWYWQMztnbz33nvvvffee++997o7nU4n99//P1xmZAFs9s5K2smeIYCqyB8/fnwfPyJOTrZO7rzYOpnuTulZ7t45me5Nm+nWcu/O9F41pS+n03v/D7qfdMUlAAAA</t>
  </si>
  <si>
    <t>CB48075C8AF291B54ECD0B3BFBF423AA</t>
  </si>
  <si>
    <t>JChemExcelKAAAAB+LCAAAAAAABADtvQdgHEmWJSYvbcp7f0r1StfgdKEIgGATJNiQQBDswYjN5pLsHWlHIymrKoHKZVZlXWYWQMztnbz33nvvvffee++997o7nU4n99//P1xmZAFs9s5K2smeIYCqyB8/fnwfPyJOprvT6daL6d50upxO9+4s7y2nWyd3plvT/Sme/ZPyzvTecvf/AXuUNyYoAAAA</t>
  </si>
  <si>
    <t>29E9775473F17C5062AE8B9EC9B132E8</t>
  </si>
  <si>
    <t>JChemExcelGwAAAB+LCAAAAAAABADtvQdgHEmWJSYvbcp7f0r1StfgdKEIgGATJNiQQBDswYjN5pLsHWlHIymrKoHKZVZlXWYWQMztnbz33nvvvffee++997o7nU4n99//P1xmZAFs9s5K2smeIYCqyB8/fnwfPyJOvpzuTqdbL062Tu6cnJy8uDPdW07p2Zvu/j+v27FOGwAAAA==</t>
  </si>
  <si>
    <t>94C79C1792D01B005BB79C147E5BA177</t>
  </si>
  <si>
    <t>JChemExcelKwAAAB+LCAAAAAAABADtvQdgHEmWJSYvbcp7f0r1StfgdKEIgGATJNiQQBDswYjN5pLsHWlHIymrKoHKZVZlXWYWQMztnbz33nvvvffee++997o7nU4n99//P1xmZAFs9s5K2smeIYCqyB8/fnwfPyJOvpzuTqfTrel098uTOyd7Jydbn714sUf/fnlneq+ir+7dme7Tj2b//wFQaTxiKwAAAA==</t>
  </si>
  <si>
    <t>A6112BEECE08A7F937A44B4463EF864F</t>
  </si>
  <si>
    <t>JChemExcelIwAAAB+LCAAAAAAABADtvQdgHEmWJSYvbcp7f0r1StfgdKEIgGATJNiQQBDswYjN5pLsHWlHIymrKoHKZVZlXWYWQMztnbz33nvvvffee++997o7nU4n99//P1xmZAFs9s5K2smeIYCqyB8/fnwfPyJOXuyenJy82Do52b1zsjXdm+LZuzO9Rz+2Tso70+m9/wfm/rMIIwAAAA==</t>
  </si>
  <si>
    <t>F4F5765485167A2E62A4A081C2F2ABD5</t>
  </si>
  <si>
    <t>JChemExcelNwAAAB+LCAAAAAAABADtvQdgHEmWJSYvbcp7f0r1StfgdKEIgGATJNiQQBDswYjN5pLsHWlHIymrKoHKZVZlXWYWQMztnbz33nvvvffee++997o7nU4n99//P1xmZAFs9s5K2smeIYCqyB8/fnwfPyJOTrZO7tD/vjzZ+uzLOy92T05ebJ2c7N6Z7k2nW8vvLb/9/b0703tT+uPL6f4Uz/6d6fTe/wNT01SnNwAAAA==</t>
  </si>
  <si>
    <t>C9A36A2643B75885E6047B118F417E0B</t>
  </si>
  <si>
    <t>JChemExcelQQAAAB+LCAAAAAAABADtvQdgHEmWJSYvbcp7f0r1StfgdKEIgGATJNiQQBDswYjN5pLsHWlHIymrKoHKZVZlXWYWQMztnbz33nvvvffee++997o7nU4n99//P1xmZAFs9s5K2smeIYCqyB8/fnwfPyJOTqa7y+nedDrdOinvTJd7092Trc++vPPiZHoPH06n9+682D85Odk6Odm/M72Pz7482Xp2h/737M50ev//ATUrQkNBAAAA</t>
  </si>
  <si>
    <t>9A8FB9233F59316C917160090A3C4A81</t>
  </si>
  <si>
    <t>JChemExcelLgAAAB+LCAAAAAAABADtvQdgHEmWJSYvbcp7f0r1StfgdKEIgGATJNiQQBDswYjN5pLsHWlHIymrKoHKZVZlXWYWQMztnbz33nvvvffee++997o7nU4n99//P1xmZAFs9s5K2smeIYCqyB8/fnwfPyJOTrZO7ix3p/h3Ot2d7k2ny+nWi+m96XS6NZ3eu/N667Mv7+D/1GDv/wHwgU0VLgAAAA==</t>
  </si>
  <si>
    <t>5D3BD6BCA684CDFCFF2BA8CB4B0A30AE</t>
  </si>
  <si>
    <t>JChemExcelIwAAAB+LCAAAAAAABADtvQdgHEmWJSYvbcp7f0r1StfgdKEIgGATJNiQQBDswYjN5pLsHWlHIymrKoHKZVZlXWYWQMztnbz33nvvvffee++997o7nU4n99//P1xmZAFs9s5K2smeIYCqyB8/fnwfPyJOTr6c7k6n060vT062PvvyzovpHv1xckf+2aOfu/8PVi8ohyMAAAA=</t>
  </si>
  <si>
    <t>8285BAB14FD13325EF5DB3874A8F31A1</t>
  </si>
  <si>
    <t>JChemExcelJwAAAB+LCAAAAAAABADtvQdgHEmWJSYvbcp7f0r1StfgdKEIgGATJNiQQBDswYjN5pLsHWlHIymrKoHKZVZlXWYWQMztnbz33nvvvffee++997o7nU4n99//P1xmZAFs9s5K2smeIYCqyB8/fnwfPyJOvjzZ+uzLOy+mu8vp3nS6NZ1O9763/Pb3d+/w59N7Uzz3/h/304/YJwAAAA==</t>
  </si>
  <si>
    <t>5FC6AAB576DEF7E7D158A664A9DBB9FF</t>
  </si>
  <si>
    <t>JChemExcelNQAAAB+LCAAAAAAABADtvQdgHEmWJSYvbcp7f0r1StfgdKEIgGATJNiQQBDswYjN5pLsHWlHIymrKoHKZVZlXWYWQMztnbz33nvvvffee++997o7nU4n99//P1xmZAFs9s5K2smeIYCqyB8/fnwfPyJOvnfye377+7snX073plsv7p2cvNg6uXNycu/OdOvZnel0/2Trsy/v0D8nL3ane/t3+M8v/x8gOdbeNQAAAA==</t>
  </si>
  <si>
    <t>ADD6FE7DC2589E298BA747A0847D1C73</t>
  </si>
  <si>
    <t>JChemExcelJAAAAB+LCAAAAAAABADtvQdgHEmWJSYvbcp7f0r1StfgdKEIgGATJNiQQBDswYjN5pLsHWlHIymrKoHKZVZlXWYWQMztnbz33nvvvffee++997o7nU4n99//P1xmZAFs9s5K2smeIYCqyB8/fnwfPyKeTXen9Gx9eXKy9dmXd15M95bTrWmzd2d6D58v792Z7v4/ZtavcyQAAAA=</t>
  </si>
  <si>
    <t>1991619BA691DBD8D44947D22213A7F7</t>
  </si>
  <si>
    <t>JChemExcelMQAAAB+LCAAAAAAABADtvQdgHEmWJSYvbcp7f0r1StfgdKEIgGATJNiQQBDswYjN5pLsHWlHIymrKoHKZVZlXWYWQMztnbz33nvvvffee++997o7nU4n99//P1xmZAFs9s5K2smeIYCqyB8/fnwfPyJOvpzuTqfTrel098uT6R79Ol3u3Tm599mLF1sn+yf87N852frsS/pw6+TOyf8D1gN3HjEAAAA=</t>
  </si>
  <si>
    <t>3D6785E919FB443EFC1A31FD8AFC0A90</t>
  </si>
  <si>
    <t>JChemExcelKwAAAB+LCAAAAAAABADtvQdgHEmWJSYvbcp7f0r1StfgdKEIgGATJNiQQBDswYjN5pLsHWlHIymrKoHKZVZlXWYWQMztnbz33nvvvffee++997o7nU4n99//P1xmZAFs9s5K2smeIYCqyB8/fnwfPyJOXm999uUd/H+6O8Wze4I/XmydTPf4770703v8y73/B0QWlEMrAAAA</t>
  </si>
  <si>
    <t>181C492415FD805F8017D8CB6FFA9587</t>
  </si>
  <si>
    <t>JChemExcelIgAAAB+LCAAAAAAABADtvQdgHEmWJSYvbcp7f0r1StfgdKEIgGATJNiQQBDswYjN5pLsHWlHIymrKoHKZVZlXWYWQMztnbz33nvvvffee++997o7nU4n99//P1xmZAFs9s5K2smeIYCqyB8/fnwfPyJOprvT6XTrxcnWZ1/eOTnZO/lyem+K596Xe3em092T8v8BRsBZhiIAAAA=</t>
  </si>
  <si>
    <t>7E77EFD7256AF1233B92C0553A9BBA85</t>
  </si>
  <si>
    <t>JChemExcelJgAAAB+LCAAAAAAABADtvQdgHEmWJSYvbcp7f0r1StfgdKEIgGATJNiQQBDswYjN5pLsHWlHIymrKoHKZVZlXWYWQMztnbz33nvvvffee++997o7nU4n99//P1xmZAFs9s5K2smeIYCqyB8/fnwfPyJOvpzuTqfTrRfTvSmevRcnW599eWd6Dx9+eWc5vXdnOt39fwCg+xEUJgAAAA==</t>
  </si>
  <si>
    <t>3285D16C3B40C510B7876681D5CC47E9</t>
  </si>
  <si>
    <t>JChemExcelJgAAAB+LCAAAAAAABADtvQdgHEmWJSYvbcp7f0r1StfgdKEIgGATJNiQQBDswYjN5pLsHWlHIymrKoHKZVZlXWYWQMztnbz33nvvvffee++997o7nU4n99//P1xmZAFs9s5K2smeIYCqyB8/fnwfPyK+/Oxk68V0dzndmja7d6Z7U3qWe3em96bL6fLedB9/T/f/H/mLb3omAAAA</t>
  </si>
  <si>
    <t>909C35677C52D9651BEE7996B640A32A</t>
  </si>
  <si>
    <t>JChemExcelLwAAAB+LCAAAAAAABADtvQdgHEmWJSYvbcp7f0r1StfgdKEIgGATJNiQQBDswYjN5pLsHWlHIymrKoHKZVZlXWYWQMztnbz33nvvvffee++997o7nU4n99//P1xmZAFs9s5K2smeIYCqyB8/fnwfPyJOTrZO7rygfz/78s6L6e6Unq3p7h39e0/+3qO/n92h/z37fwBUGepALwAAAA==</t>
  </si>
  <si>
    <t>B12D2FB520F8B8627ADF5832987D581A</t>
  </si>
  <si>
    <t>JChemExcelIQAAAB+LCAAAAAAABADtvQdgHEmWJSYvbcp7f0r1StfgdKEIgGATJNiQQBDswYjN5pLsHWlHIymrKoHKZVZlXWYWQMztnbz33nvvvffee++997o7nU4n99//P1xmZAFs9s5K2smeIYCqyB8/fnwfPyJOprvL6d6UnuXedPdk67Mv77w4md6jv7dOyjvT6b3/B8ZCX8EhAAAA</t>
  </si>
  <si>
    <t>AC0C3A8280A97BA31DAF8149246CE74B</t>
  </si>
  <si>
    <t>JChemExcelIwAAAB+LCAAAAAAABADtvQdgHEmWJSYvbcp7f0r1StfgdKEIgGATJNiQQBDswYjN5pLsHWlHIymrKoHKZVZlXWYWQMztnbz33nvvvffee++997o7nU4n99//P1xmZAFs9s5K2smeIYCqyB8/fnwfPyJenGydnGx99uWd6e50Ot06Ke9Mp7v07wl+xf9Pyv8HDrNyxiMAAAA=</t>
  </si>
  <si>
    <t>119A472CCBAED790E4291ED7C16E6FCC</t>
  </si>
  <si>
    <t>JChemExcelKwAAAB+LCAAAAAAABADtvQdgHEmWJSYvbcp7f0r1StfgdKEIgGATJNiQQBDswYjN5pLsHWlHIymrKoHKZVZlXWYWQMztnbz33nvvvffee++997o7nU4n99//P1xmZAFs9s5K2smeIYCqyB8/fnwfPyJOvpzuTqfTrSn92Jsut5bLvTvTe/LJvTsnW5+9uPNCf/w/3oYzUisAAAA=</t>
  </si>
  <si>
    <t>76B00AB4F575B24BB0568165EB8DE0FA</t>
  </si>
  <si>
    <t>JChemExcelrQAAAB+LCAAAAAAABADtvQdgHEmWJSYvbcp7f0r1StfgdKEIgGATJNiQQBDswYjN5pLsHWlHIymrKoHKZVZlXWYWQMztnbz33nvvvffee++997o7nU4n99//P1xmZAFs9s5K2smeIYCqyB8/fnwfPyJOprvT6XRrOt19cbL12Zd3pntT/C1/vJje47+m9+7o3/vcdrp/Yj64z99/yh9vTe9/euc1Psf/vxz4dbpn3n3A7x7ouw8Obnz3/wHh5ir+rQAAAA==</t>
  </si>
  <si>
    <t>A015C5BA7A842E3448F8CB152E73CC50</t>
  </si>
  <si>
    <t>JChemExcelKQAAAB+LCAAAAAAABADtvQdgHEmWJSYvbcp7f0r1StfgdKEIgGATJNiQQBDswYjN5pLsHWlHIymrKoHKZVZlXWYWQMztnbz33nvvvffee++997o7nU4n99//P1xmZAFs9s5K2smeIYCqyB8/fnwfPyJOvpzuTqdbJy/2Tk5O7m2dnOzdOfnsZLo/xXNv/850ev9LtLn//wAIU0ZUKQAAAA==</t>
  </si>
  <si>
    <t>E4958F3A377BC21F317A1F47624F1B01</t>
  </si>
  <si>
    <t>JChemExcelJgAAAB+LCAAAAAAABADtvQdgHEmWJSYvbcp7f0r1StfgdKEIgGATJNiQQBDswYjN5pLsHWlHIymrKoHKZVZlXWYWQMztnbz33nvvvffee++997o7nU4n99//P1xmZAFs9s5K2smeIYCqyB8/fnwfPyK+fLL75cl0bzqdbr042frsyzvTe1M89062nt2h/z27M53u7v0/UGv5FiYAAAA=</t>
  </si>
  <si>
    <t>8423516B45CFCAE74D8C59FE5DB89FE5</t>
  </si>
  <si>
    <t>JChemExcelMQAAAB+LCAAAAAAABADtvQdgHEmWJSYvbcp7f0r1StfgdKEIgGATJNiQQBDswYjN5pLsHWlHIymrKoHKZVZlXWYWQMztnbz33nvvvffee++997o7nU4n99//P1xmZAFs9s5K2smeIYCqyB8/fnwfPyJOprvT6d4Uz95y9+Rk67Mv77y4Rz+/nO7zp/f278iH90/w3P9/ADl+58AxAAAA</t>
  </si>
  <si>
    <t>D1578063EF058175931008DA2A4DBF2A</t>
  </si>
  <si>
    <t>JChemExcelJwAAAB+LCAAAAAAABADtvQdgHEmWJSYvbcp7f0r1StfgdKEIgGATJNiQQBDswYjN5pLsHWlHIymrKoHKZVZlXWYWQMztnbz33nvvvffee++997o7nU4n99//P1xmZAFs9s5K2smeIYCqyB8/fnwfPyJOTna3Tu6cTPemWydf7t6Zbi2n95rldOtJfWe6d+/Oi/2Tky9PTvb/H2MBbYUnAAAA</t>
  </si>
  <si>
    <t>BCEE80DE13205F0A1B9BFC2256D9D3FA</t>
  </si>
  <si>
    <t>JChemExcelJQAAAB+LCAAAAAAABADtvQdgHEmWJSYvbcp7f0r1StfgdKEIgGATJNiQQBDswYjN5pLsHWlHIymrKoHKZVZlXWYWQMztnbz33nvvvffee++997o7nU4n99//P1xmZAFs9s5K2smeIYCqyB8/fnwfPyKeTXeneHZP9k7of1uffXnnxfTecro1be7dme7jq+X+/wN23zJ3JQAAAA==</t>
  </si>
  <si>
    <t>918610E10149EFA06DC24938085D7EC7</t>
  </si>
  <si>
    <t>JChemExcelKgAAAB+LCAAAAAAABADtvQdgHEmWJSYvbcp7f0r1StfgdKEIgGATJNiQQBDswYjN5pLsHWlHIymrKoHKZVZlXWYWQMztnbz33nvvvffee++997o7nU4n99//P1xmZAFs9s5K2smeIYCqyB8/fnwfPyJOTnY/e3GyR///7OTF3snWi5N7n53Q71snW8/u0P+e3aE/7t357GT3/wHbHbfUKgAAAA==</t>
  </si>
  <si>
    <t>EC86555269C592543698565FB0C0939A</t>
  </si>
  <si>
    <t>JChemExcelLAAAAB+LCAAAAAAABADtvQdgHEmWJSYvbcp7f0r1StfgdKEIgGATJNiQQBDswYjN5pLsHWlHIymrKoHKZVZlXWYWQMztnbz33nvvvffee++997o7nU4n99//P1xmZAFs9s5K2smeIYCqyB8/fnwfPyJOXmyd3Dk52frsyzsvTk5e7J5sTfemePbuTO9Np1sn5R36496Lz052T/4fLVyh6CwAAAA=</t>
  </si>
  <si>
    <t>687A011887DB25FB4FDDF26C885F9C5D</t>
  </si>
  <si>
    <t>JChemExcelLgAAAB+LCAAAAAAABADtvQdgHEmWJSYvbcp7f0r1StfgdKEIgGATJNiQQBDswYjN5pLsHWlHIymrKoHKZVZlXWYWQMztnbz33nvvvffee++997o7nU4n99//P1xmZAFs9s5K2smeIYCqyB8/fnwfPyJOprvT6XTrxcnWZ1/eme7Rr/Tn3smd1/gb/6dvTu7Q/07uLKe7/w/50x22LgAAAA==</t>
  </si>
  <si>
    <t>CF1D05DC8FD5E08930C60DD9786FEB47</t>
  </si>
  <si>
    <t>JChemExcelKQAAAB+LCAAAAAAABADtvQdgHEmWJSYvbcp7f0r1StfgdKEIgGATJNiQQBDswYjN5pLsHWlHIymrKoHKZVZlXWYWQMztnbz33nvvvffee++997o7nU4n99//P1xmZAFs9s5K2smeIYCqyB8/fnwfPyJOTrZeTHen062T8s50Ot19sXdy8uXJyd6dk63Pvrzz4t4JPVsnd07u/T+SOGVTKQAAAA==</t>
  </si>
  <si>
    <t>575D8753B890635DB2812E86FE5FD5BD</t>
  </si>
  <si>
    <t>JChemExcelKwAAAB+LCAAAAAAABADtvQdgHEmWJSYvbcp7f0r1StfgdKEIgGATJNiQQBDswYjN5pLsHWlHIymrKoHKZVZlXWYWQMztnbz33nvvvffee++997o7nU4n99//P1xmZAFs9s5K2smeIYCqyB8/fnwfPyJOXmydbH325Z3p7nS6N92a0rP3veW3v797Z3pvuqT/7t2Z7uPT6f7/A7opFiUrAAAA</t>
  </si>
  <si>
    <t>8272A6AC8540C4DE716523DE23CF1AAB</t>
  </si>
  <si>
    <t>JChemExcelGgAAAB+LCAAAAAAABADtvQdgHEmWJSYvbcp7f0r1StfgdKEIgGATJNiQQBDswYjN5pLsHWlHIymrKoHKZVZlXWYWQMztnbz33nvvvffee++997o7nU4n99//P1xmZAFs9s5K2smeIYCqyB8/fnwfPyJeTHeX0+l0j/6/9eX03nRKf927M53u7v0/c+40ahoAAAA=</t>
  </si>
  <si>
    <t>0EEE215415B35E90C2F31C68D8053C12</t>
  </si>
  <si>
    <t>JChemExcelFwAAAB+LCAAAAAAABADtvQdgHEmWJSYvbcp7f0r1StfgdKEIgGATJNiQQBDswYjN5pLsHWlHIymrKoHKZVZlXWYWQMztnbz33nvvvffee++997o7nU4n99//P1xmZAFs9s5K2smeIYCqyB8/fnwfPyJOTl5snZzcOdn67Ms7L3b5rzsnJ7v/D49YtWYXAAAA</t>
  </si>
  <si>
    <t>49C9CBE183937AB817C58F089C4292F1</t>
  </si>
  <si>
    <t>JChemExcelLwAAAB+LCAAAAAAABADtvQdgHEmWJSYvbcp7f0r1StfgdKEIgGATJNiQQBDswYjN5pLsHWlHIymrKoHKZVZlXWYWQMztnbz33nvvvffee++997o7nU4n99//P1xmZAFs9s5K2smeIYCqyB8/fnwfPyJOTrZO7py8eL312Zd38P/p7nQ63Tqhj+mPF9M9/qu8M53undA/u/8PL0H/gC8AAAA=</t>
  </si>
  <si>
    <t>EAE51D4850F42F365B5192C2D0ED2229</t>
  </si>
  <si>
    <t>JChemExcelFgAAAB+LCAAAAAAABADtvQdgHEmWJSYvbcp7f0r1StfgdKEIgGATJNiQQBDswYjN5pLsHWlHIymrKoHKZVZlXWYWQMztnbz33nvvvffee++997o7nU4n99//P1xmZAFs9s5K2smeIYCqyB8/fnwfPyJeTHen0+lyuvtiuke/bJ2Ud6bTvf8HdC0F5hYAAAA=</t>
  </si>
  <si>
    <t>9723508BE3EA309E79F98B6F5625881D</t>
  </si>
  <si>
    <t>JChemExcelMgAAAB+LCAAAAAAABADtvQdgHEmWJSYvbcp7f0r1StfgdKEIgGATJNiQQBDswYjN5pLsHWlHIymrKoHKZVZlXWYWQMztnbz33nvvvffee++997o7nU4n99//P1xmZAFs9s5K2smeIYCqyB8/fnwfPyJOTk6mu9PpdGs63b3zeuuzL+/g/y+me/js5MW9k5MXWycn+/S/Oycn9+5Mp3v/D/uVuuUyAAAA</t>
  </si>
  <si>
    <t>98F39F982AA461426BDE7620236B298D</t>
  </si>
  <si>
    <t>JChemExcelGQAAAB+LCAAAAAAABADtvQdgHEmWJSYvbcp7f0r1StfgdKEIgGATJNiQQBDswYjN5pLsHWlHIymrKoHKZVZlXWYWQMztnbz33nvvvffee++997o7nU4n99//P1xmZAFs9s5K2smeIYCqyB8/fnwfPyKenWw9u0P/m+4ul9O96XS6dVLeWS539/4fR+XEExkAAAA=</t>
  </si>
  <si>
    <t>8FAF8505E5087DAA3184C1C45B414A62</t>
  </si>
  <si>
    <t>JChemExcelOgAAAB+LCAAAAAAABADtvQdgHEmWJSYvbcp7f0r1StfgdKEIgGATJNiQQBDswYjN5pLsHWlHIymrKoHKZVZlXWYWQMztnbz33nvvvffee++997o7nU4n99//P1xmZAFs9s5K2smeIYCqyB8/fnwfPyKeTXen0y3637M7092Tvc9OTl5snUzvTfHcu3Nysnfnxf7J905+z29/f+vky+n96bRa3r/z5cn+Z1/+P9z2ifM6AAAA</t>
  </si>
  <si>
    <t>97B388A69ACC70CDC215F1A533A21D09</t>
  </si>
  <si>
    <t>JChemExcelMwAAAB+LCAAAAAAABADtvQdgHEmWJSYvbcp7f0r1StfgdKEIgGATJNiQQBDswYjN5pLsHWlHIymrKoHKZVZlXWYWQMztnbz33nvvvffee++997o7nU4n99//P1xmZAFs9s5K2smeIYCqyB8/fnwfPyJOprvT6dbJneXecrq1nO4td++cbH325Z0X03v0+XQ6vfdi/+Tky5OTffr82R3637P/B6K0ChEzAAAA</t>
  </si>
  <si>
    <t>88FE66AB5AD257889026BCD6DCBD0EFC</t>
  </si>
  <si>
    <t>JChemExcelKwAAAB+LCAAAAAAABADtvQdgHEmWJSYvbcp7f0r1StfgdKEIgGATJNiQQBDswYjN5pLsHWlHIymrKoHKZVZlXWYWQMztnbz33nvvvffee++997o7nU4n99//P1xmZAFs9s5K2smeIYCqyB8/fnwfPyJOXpxsffblnenudLo1bXbvvMZf+P+LvZOTF1snJ3t3pvem9Czv/T8o8B4TKwAAAA==</t>
  </si>
  <si>
    <t>E71EFB18B88877B75308C34FC64700BF</t>
  </si>
  <si>
    <t>JChemExcelIwAAAB+LCAAAAAAABADtvQdgHEmWJSYvbcp7f0r1StfgdKEIgGATJNiQQBDswYjN5pLsHWlHIymrKoHKZVZlXWYWQMztnbz33nvvvffee++997o7nU4n99//P1xmZAFs9s5K2smeIYCqyB8/fnwfPyJOTk62Xk93q+neFM/ecvfOydZnX955Mb23XE63Tu409/4fJK0QQyMAAAA=</t>
  </si>
  <si>
    <t>28FE6BD88A8708BFF509CAFCF89AC474</t>
  </si>
  <si>
    <t>JChemExcelHwAAAB+LCAAAAAAABADtvQdgHEmWJSYvbcp7f0r1StfgdKEIgGATJNiQQBDswYjN5pLsHWlHIymrKoHKZVZlXWYWQMztnbz33nvvvffee++997o7nU4n99//P1xmZAFs9s5K2smeIYCqyB8/fnwfPyJenGx99uWdky+nu9PpdGs63b0z3ZPf9u6c/PiL/wdPfRITHwAAAA==</t>
  </si>
  <si>
    <t>AB25CEDE5258E40B788D9CF9191F17F3</t>
  </si>
  <si>
    <t>JChemExcelIQAAAB+LCAAAAAAABADtvQdgHEmWJSYvbcp7f0r1StfgdKEIgGATJNiQQBDswYjN5pLsHWlHIymrKoHKZVZlXWYWQMztnbz33nvvvffee++997o7nU4n99//P1xmZAFs9s5K2smeIYCqyB8/fnwfPyK+/Oxk68XJyXR3Ol1uLXfvTPemePbunNw7wXPv/wFgwoEbIQAAAA==</t>
  </si>
  <si>
    <t>56B0AC4DF005FFDE88D82148836F1DC7</t>
  </si>
  <si>
    <t>JChemExcelPgAAAB+LCAAAAAAABADtvQdgHEmWJSYvbcp7f0r1StfgdKEIgGATJNiQQBDswYjN5pLsHWlHIymrKoHKZVZlXWYWQMztnbz33nvvvffee++997o7nU4n99//P1xmZAFs9s5K2smeIYCqyB8/fnwfPyJOTnZPvjzZ2zo5eUH/37tzcu+zFydbn315Z7o/nW7hf/uv79353otPvo8Pv/fl9vfvnGw9u0P/e3bny93/B2j7Seo+AAAA</t>
  </si>
  <si>
    <t>09E3161FD1605F5359146D00E5DA1CB8</t>
  </si>
  <si>
    <t>JChemExcelGgAAAB+LCAAAAAAABADtvQdgHEmWJSYvbcp7f0r1StfgdKEIgGATJNiQQBDswYjN5pLsHWlHIymrKoHKZVZlXWYWQMztnbz33nvvvffee++997o7nU4n99//P1xmZAFs9s5K2smeIYCqyB8/fnwfPyJOTr538nt++/tbJ1/eeXFy8kL/OLlz8uX/A2RVrx0aAAAA</t>
  </si>
  <si>
    <t>6288F7D0913D8E183C0386E259536B1D</t>
  </si>
  <si>
    <t>JChemExcelJgAAAB+LCAAAAAAABADtvQdgHEmWJSYvbcp7f0r1StfgdKEIgGATJNiQQBDswYjN5pLsHWlHIymrKoHKZVZlXWYWQMztnbz33nvvvffee++997o7nU4n99//P1xmZAFs9s5K2smeIYCqyB8/fnwfPyJOvpzuTqfTveV06+TOdLr15cnJ1mdf3nlxMr03xXPvznRvuvv/AO8m5FgmAAAA</t>
  </si>
  <si>
    <t>EFCF52A3F6A683E11662E1E5F1147354</t>
  </si>
  <si>
    <t>JChemExcelLQAAAB+LCAAAAAAABADtvQdgHEmWJSYvbcp7f0r1StfgdKEIgGATJNiQQBDswYjN5pLsHWlHIymrKoHKZVZlXWYWQMztnbz33nvvvffee++997o7nU4n99//P1xmZAFs9s5K2smeIYCqyB8/fnwfPyJOyunudDrdmk5377ze+uzLO/j/i72TkxdbJyd7d062Pnt958XJ9F5Fje79PzyhPsotAAAA</t>
  </si>
  <si>
    <t>C4E56B7BB94363E0E777C363324B98BE</t>
  </si>
  <si>
    <t>JChemExcelJQAAAB+LCAAAAAAABADtvQdgHEmWJSYvbcp7f0r1StfgdKEIgGATJNiQQBDswYjN5pLsHWlHIymrKoHKZVZlXWYWQMztnbz33nvvvffee++997o7nU4n99//P1xmZAFs9s5K2smeIYCqyB8/fnwfPyJOprvT6XTve8tvf3+6dXLv5OTkxcm9O9Ot6f50upxO9+9M96a7/w9SEKmvJQAAAA==</t>
  </si>
  <si>
    <t>C5C024F9144E4226F610FCD57C0C4D9F</t>
  </si>
  <si>
    <t>JChemExcelJwAAAB+LCAAAAAAABADtvQdgHEmWJSYvbcp7f0r1StfgdKEIgGATJNiQQBDswYjN5pLsHWlHIymrKoHKZVZlXWYWQMztnbz33nvvvffee++997o7nU4n99//P1xmZAFs9s5K2smeIYCqyB8/fnwfPyJOvjw52Tq58+Jk67Mv75y8nu4up8vpXjPdmk539+5sT3eneHb/H2vzXWAnAAAA</t>
  </si>
  <si>
    <t>035A10A7B99EE486CAD6CD8C021D34B6</t>
  </si>
  <si>
    <t>JChemExcelIwAAAB+LCAAAAAAABADtvQdgHEmWJSYvbcp7f0r1StfgdKEIgGATJNiQQBDswYjN5pLsHWlHIymrKoHKZVZlXWYWQMztnbz33nvvvffee++997o7nU4n99//P1xmZAFs9s5K2smeIYCqyB8/fnwfPyJOvpzuTvHsfnlCz3JvurWc3uNP9u7dOdk/Odn/fwDJHYG6IwAAAA==</t>
  </si>
  <si>
    <t>3E761C7292517E8B376F2C7B3AEC5AF2</t>
  </si>
  <si>
    <t>JChemExcelKgAAAB+LCAAAAAAABADtvQdgHEmWJSYvbcp7f0r1StfgdKEIgGATJNiQQBDswYjN5pLsHWlHIymrKoHKZVZlXWYWQMztnbz33nvvvffee++997o7nU4n99//P1xmZAFs9s5K2smeIYCqyB8/fnwfPyJOTrZOtj778s6L6e50Ot2rplvL6d509842/l5O6Tf+Yjrd/X8AXS5l3ioAAAA=</t>
  </si>
  <si>
    <t>A8D0F8FB969AED0352ACCE65A9DBC1BF</t>
  </si>
  <si>
    <t>JChemExcelLwAAAB+LCAAAAAAABADtvQdgHEmWJSYvbcp7f0r1StfgdKEIgGATJNiQQBDswYjN5pLsHWlHIymrKoHKZVZlXWYWQMztnbz33nvvvffee++997o7nU4n99//P1xmZAFs9s5K2smeIYCqyB8/fnwfPyJOprvT6d5yuvXiZOuzL++cbJ3cof+d3KFPTso79M0ut5C/prv/D++ZnjUvAAAA</t>
  </si>
  <si>
    <t>C366D9E71FD601E4A85FB2A8DFFB6C62</t>
  </si>
  <si>
    <t>JChemExcelJAAAAB+LCAAAAAAABADtvQdgHEmWJSYvbcp7f0r1StfgdKEIgGATJNiQQBDswYjN5pLsHWlHIymrKoHKZVZlXWYWQMztnbz33nvvvffee++997o7nU4n99//P1xmZAFs9s5K2smeIYCqyB8/fnwfPyJOvpzuTqfTrS9Ptk7unGx99uWdF9M9fHBS3plO907on93/Bxyeeh8kAAAA</t>
  </si>
  <si>
    <t>6F814EE11B1BF33143AE6DC6D392B240</t>
  </si>
  <si>
    <t>JChemExcelJAAAAB+LCAAAAAAABADtvQdgHEmWJSYvbcp7f0r1StfgdKEIgGATJNiQQBDswYjN5pLsHWlHIymrKoHKZVZlXWYWQMztnbz33nvvvffee++997o7nU4n99//P1xmZAFs9s5K2smeIYCqyB8/fnwfPyJOyunudDrdOnmxd3LyYuvkZO/OydZnX955cTK9V9EX9+40u/8P4ThWkSQAAAA=</t>
  </si>
  <si>
    <t>63D67CDAD0BD42CB2C23D2BC360700CC</t>
  </si>
  <si>
    <t>JChemExcelIQAAAB+LCAAAAAAABADtvQdgHEmWJSYvbcp7f0r1StfgdKEIgGATJNiQQBDswYjN5pLsHWlHIymrKoHKZVZlXWYWQMztnbz33nvvvffee++997o7nU4n99//P1xmZAFs9s5K2smeIYCqyB8/fnwfPyJOtl5Md5fLvenWdDnda3bvTO9Np9Pm3p2T/ZOTL09O9v8fjFuvDSEAAAA=</t>
  </si>
  <si>
    <t>F307460CB0405E42C508E9363A630D73</t>
  </si>
  <si>
    <t>JChemExcelJgAAAB+LCAAAAAAABADtvQdgHEmWJSYvbcp7f0r1StfgdKEIgGATJNiQQBDswYjN5pLsHWlHIymrKoHKZVZlXWYWQMztnbz33nvvvffee++997o7nU4n99//P1xmZAFs9s5K2smeIYCqyB8/fnwfPyK+/Oxk68XJdHdaTae7d17snZy82DqZ3ptOp/tfnnw53Z/eu3Nysvf/ANSg7J4mAAAA</t>
  </si>
  <si>
    <t>208CD7BC0A8B558BBE0793C3EE25A80D</t>
  </si>
  <si>
    <t>JChemExcelMAAAAB+LCAAAAAAABADtvQdgHEmWJSYvbcp7f0r1StfgdKEIgGATJNiQQBDswYjN5pLsHWlHIymrKoHKZVZlXWYWQMztnbz33nvvvffee++997o7nU4n99//P1xmZAFs9s5K2smeIYCqyB8/fnwfPyJOvpzuTqfTvSX9s/XiZOuzL++c3Ds5ebF1cjLdx2cn5Z3pdP/Oycm9O9Rq9/8B4BPpWjAAAAA=</t>
  </si>
  <si>
    <t>8AD70CF0B6D0BE5D3C440EE0FC8BF864</t>
  </si>
  <si>
    <t>JChemExcelLAAAAB+LCAAAAAAABADtvQdgHEmWJSYvbcp7f0r1StfgdKEIgGATJNiQQBDswYjN5pLsHWlHIymrKoHKZVZlXWYWQMztnbz33nvvvffee++997o7nU4n99//P1xmZAFs9s5K2smeIYCqyB8/fnwfPyJOTrZeTHeXy+l0a7l7Z7o3pV+m0707J1vP7tD/nt2Z3psut07uLKf3Tv4fhKvVYywAAAA=</t>
  </si>
  <si>
    <t>7248A7E72D7A22E3F0FF732B39417160</t>
  </si>
  <si>
    <t>JChemExcelOQAAAB+LCAAAAAAABADtvQdgHEmWJSYvbcp7f0r1StfgdKEIgGATJNiQQBDswYjN5pLsHWlHIymrKoHKZVZlXWYWQMztnbz33nvvvffee++997o7nU4n99//P1xmZAFs9s5K2smeIYCqyB8/fnwfPyJOvjzZ+uzLO9PdKT171XRrOd3duzO9hz+3vjyh315Ig336u1ru35nex1fT+/8P0+138jkAAAA=</t>
  </si>
  <si>
    <t>A245B7FD8328396C1135D75E1280D341</t>
  </si>
  <si>
    <t>JChemExcelLwAAAB+LCAAAAAAABADtvQdgHEmWJSYvbcp7f0r1StfgdKEIgGATJNiQQBDswYjN5pLsHWlHIymrKoHKZVZlXWYWQMztnbz33nvvvffee++997o7nU4n99//P1xmZAFs9s5K2smeIYCqyB8/fnwfPyJeTHeX0+nWdLo73ZvSL8vp3p2TrWd36H/P7kzvyUf37Ef/DxEWyHQvAAAA</t>
  </si>
  <si>
    <t>78787E44BAAB905C2339A2C54AEAC12C</t>
  </si>
  <si>
    <t>JChemExcelMwAAAB+LCAAAAAAABADtvQdgHEmWJSYvbcp7f0r1StfgdKEIgGATJNiQQBDswYjN5pLsHWlHIymrKoHKZVZlXWYWQMztnbz33nvvvffee++997o7nU4n99//P1xmZAFs9s5K2smeIYCqyB8/fnwfPyJOTnY/O9k6OTnZ+uzLO1/ekR/TvenWyZ3p1pcn03tT/pX/uUc/p7t7/w+2d2kJMwAAAA==</t>
  </si>
  <si>
    <t>EDFA2ED178A07E86E2752ED84A5CB1A8</t>
  </si>
  <si>
    <t>JChemExcelIAAAAB+LCAAAAAAABADtvQdgHEmWJSYvbcp7f0r1StfgdKEIgGATJNiQQBDswYjN5pLsHWlHIymrKoHKZVZlXWYWQMztnbz33nvvvffee++997o7nU4n99//P1xmZAFs9s5K2smeIYCqyB8/fnwfPyJOvpzuTqdby+nelH6c3Jluvbgz3d27c7L17A7979n/A4TVDT0gAAAA</t>
  </si>
  <si>
    <t>E8DF16D9F05F30D64972CC21567341D2</t>
  </si>
  <si>
    <t>JChemExcelMAAAAB+LCAAAAAAABADtvQdgHEmWJSYvbcp7f0r1StfgdKEIgGATJNiQQBDswYjN5pLsHWlHIymrKoHKZVZlXWYWQMztnbz33nvvvffee++997o7nU4n99//P1xmZAFs9s5K2smeIYCqyB8/fnwfPyJOvvx9Tz472fp9T7Y++/LOlyd37k53p3h2v5zuTadbX07v8Z/3Tn78xZ3ldLn3/wB86Q/QMAAAAA==</t>
  </si>
  <si>
    <t>C6A3CC8FFF606E8E341B2D58DDCFBA06</t>
  </si>
  <si>
    <t>JChemExcelMAAAAB+LCAAAAAAABADtvQdgHEmWJSYvbcp7f0r1StfgdKEIgGATJNiQQBDswYjN5pLsHWlHIymrKoHKZVZlXWYWQMztnbz33nvvvffee++997o7nU4n99//P1xmZAFs9s5K2smeIYCqyB8/fnwfPyJOTrZO7tD/prvT6Rb+t3vnZOuzL++8mO5Np9PldM/8eY//vPf/AEH2jMgwAAAA</t>
  </si>
  <si>
    <t>CA329A2E8B14CF24BE2CA6F4B77D10D0</t>
  </si>
  <si>
    <t>JChemExcelNwAAAB+LCAAAAAAABADtvQdgHEmWJSYvbcp7f0r1StfgdKEIgGATJNiQQBDswYjN5pLsHWlHIymrKoHKZVZlXWYWQMztnbz33nvvvffee++997o7nU4n99//P1xmZAFs9s5K2smeIYCqyB8/fnwfPyK+PNn67Ms7090pPXvVdGs53d27M72HP7fo83sv5Pt9+rNa7t+Z3sc30/v/D/kpyBw3AAAA</t>
  </si>
  <si>
    <t>07161A4B51F8BFEB15B1ABCC0F277525</t>
  </si>
  <si>
    <t>JChemExcelQwAAAB+LCAAAAAAABADtvQdgHEmWJSYvbcp7f0r1StfgdKEIgGATJNiQQBDswYjN5pLsHWlHIymrKoHKZVZlXWYWQMztnbz33nvvvffee++997o7nU4n99//P1xmZAFs9s5K2smeIYCqyB8/fnwfPyJOTnY/O9k6uXOy9YL+t/dC/vjsZI/+PLn32Qn9uvV667Mv72y92Dqhb07u0O/04T38/OzF7p3Pvvx/AH08lktDAAAA</t>
  </si>
  <si>
    <t>124B67DDD2D10F44376018C5FB69707B</t>
  </si>
  <si>
    <t>JChemExcelJQAAAB+LCAAAAAAABADtvQdgHEmWJSYvbcp7f0r1StfgdKEIgGATJNiQQBDswYjN5pLsHWlHIymrKoHKZVZlXWYWQMztnbz33nvvvffee++997o7nU4n99//P1xmZAFs9s5K2smeIYCqyB8/fnwfPyJOyunudDrdmk537yz36JeTL6f3ptPldH+K597+neVy7/8Bm5eySSUAAAA=</t>
  </si>
  <si>
    <t>71AB672CE01DB5E694960ACAC27900D8</t>
  </si>
  <si>
    <t>JChemExcelMQAAAB+LCAAAAAAABADtvQdgHEmWJSYvbcp7f0r1StfgdKEIgGATJNiQQBDswYjN5pLsHWlHIymrKoHKZVZlXWYWQMztnbz33nvvvffee++997o7nU4n99//P1xmZAFs9s5K2smeIYCqyB8/fnwfPyJOvpzuTqfTrely9850b7qc3sNfL06m+/zpdP/O663PvryD/7+4s1zu3ft/AOx3Ex8xAAAA</t>
  </si>
  <si>
    <t>B8D340B1EE5885C6E99BA528441333EF</t>
  </si>
  <si>
    <t>JChemExcelLgAAAB+LCAAAAAAABADtvQdgHEmWJSYvbcp7f0r1StfgdKEIgGATJNiQQBDswYjN5pLsHWlHIymrKoHKZVZlXWYWQMztnbz33nvvvffee++997o7nU4n99//P1xmZAFs9s5K2smeIYCqyB8/fnwfPyJevN767Ms7+P90d7qcTremu3eme9Pp9B79QX/tT5ffW377+9P9O/TJ3v8Dd0A2dy4AAAA=</t>
  </si>
  <si>
    <t>1D1BD4C4B1C54225D98AE03396588AE7</t>
  </si>
  <si>
    <t>JChemExcelMQAAAB+LCAAAAAAABADtvQdgHEmWJSYvbcp7f0r1StfgdKEIgGATJNiQQBDswYjN5pLsHWlHIymrKoHKZVZlXWYWQMztnbz33nvvvffee++997o7nU4n99//P1xmZAFs9s5K2smeIYCqyB8/fnwfPyJOTrZO7mydvLgz3V1Ot6Z70+l066S8M9368s50j358b/nt7+/emd6bTunrF3eW9/4fJb5CzTEAAAA=</t>
  </si>
  <si>
    <t>F26E1AA01A4DDACAEC181BFC205F35D8</t>
  </si>
  <si>
    <t>JChemExcelMAAAAB+LCAAAAAAABADtvQdgHEmWJSYvbcp7f0r1StfgdKEIgGATJNiQQBDswYjN5pLsHWlHIymrKoHKZVZlXWYWQMztnbz33nvvvffee++997o7nU4n99//P1xmZAFs9s5K2smeIYCqyB8/fnwfPyJOTr6c7k7x7L442Tq5c7L12Zd3Xkz3ptMt+mzvxT1qcHJyjz5/dof+9+z/AT7m+7owAAAA</t>
  </si>
  <si>
    <t>39F968877BF9FB052B916EB7F160D4F5</t>
  </si>
  <si>
    <t>JChemExcelNgAAAB+LCAAAAAAABADtvQdgHEmWJSYvbcp7f0r1StfgdKEIgGATJNiQQBDswYjN5pLsHWlHIymrKoHKZVZlXWYWQMztnbz33nvvvffee++997o7nU4n99//P1xmZAFs9s5K2smeIYCqyB8/fnwfPyJOTrZOtl6f7H724uSzk5PPXuze+exk7+TOZy9e7J1svTi5hw+5zbM79L9n9O29O599+f8AMIkrLzYAAAA=</t>
  </si>
  <si>
    <t>40E1C0B616B2B94A3C74DD86AB7EB42D</t>
  </si>
  <si>
    <t>JChemExcelLAAAAB+LCAAAAAAABADtvQdgHEmWJSYvbcp7f0r1StfgdKEIgGATJNiQQBDswYjN5pLsHWlHIymrKoHKZVZlXWYWQMztnbz33nvvvffee++997o7nU4n99//P1xmZAFs9s5K2smeIYCqyB8/fnwfPyKenWw9u0P/m+4up3tTepZ7092Trc++vPPiZHpvOt06Ke/ov/f+HxeDqSwsAAAA</t>
  </si>
  <si>
    <t>C57E752822D0E34C2F493B7FDF44BB24</t>
  </si>
  <si>
    <t>JChemExcelNQAAAB+LCAAAAAAABADtvQdgHEmWJSYvbcp7f0r1StfgdKEIgGATJNiQQBDswYjN5pLsHWlHIymrKoHKZVZlXWYWQMztnbz33nvvvffee++997o7nU4n99//P1xmZAFs9s5K2smeIYCqyB8/fnwfPyK+9+X297/34pPvb3325Z3p7nS5d/K9k9/z9/z297dOvpzuLXfvfHkyvTedTre+PNl6dof+9+zOdHrv/wGYdxizNQAAAA==</t>
  </si>
  <si>
    <t>88D33C5AF0E398B081331244E2482A35</t>
  </si>
  <si>
    <t>JChemExcelNwAAAB+LCAAAAAAABADtvQdgHEmWJSYvbcp7f0r1StfgdKEIgGATJNiQQBDswYjN5pLsHWlHIymrKoHKZVZlXWYWQMztnbz33nvvvffee++997o7nU4n99//P1xmZAFs9s5K2smeIYCqyB8/fnwfPyJOXmxNd6fT6dazO9Pp7p3XW599eQf/n+7hw5PyznRrunfnBB+9mN6b8od3lvf+H7vIMAc3AAAA</t>
  </si>
  <si>
    <t>3DF89D54B16AE2703B6236F289CB8D44</t>
  </si>
  <si>
    <t>JChemExcelIgAAAB+LCAAAAAAABADtvQdgHEmWJSYvbcp7f0r1StfgdKEIgGATJNiQQBDswYjN5pLsHWlHIymrKoHKZVZlXWYWQMztnbz33nvvvffee++997o7nU4n99//P1xmZAFs9s5K2smeIYCqyB8/fnwfPyKeTXen0+nedOukvDPdaui33TsnW599eefFyb3PXpycvL73/wDZ+xQqIgAAAA==</t>
  </si>
  <si>
    <t>2CEF2416B5451D143023A05CE9E570CC</t>
  </si>
  <si>
    <t>JChemExcelJwAAAB+LCAAAAAAABADtvQdgHEmWJSYvbcp7f0r1StfgdKEIgGATJNiQQBDswYjN5pLsHWlHIymrKoHKZVZlXWYWQMztnbz33nvvvffee++997o7nU4n99//P1xmZAFs9s5K2smeIYCqyB8/fnwfPyJenGx99uLOdHc6nW59eYLny+ke/phO9+7wd/TtdPf/Aae2SIYnAAAA</t>
  </si>
  <si>
    <t>B60D75B07530B2B8B98ABA074A40E67D</t>
  </si>
  <si>
    <t>JChemExcelIQAAAB+LCAAAAAAABADtvQdgHEmWJSYvbcp7f0r1StfgdKEIgGATJNiQQBDswYjN5pLsHWlHIymrKoHKZVZlXWYWQMztnbz33nvvvffee++997o7nU4n99//P1xmZAFs9s5K2smeIYCqyB8/fnwfPyJOyunudDrdOnmxd3LyYuvkZO/Oyb3PXtDv9+5Mp7sn5f8D3WL+7iEAAAA=</t>
  </si>
  <si>
    <t>485C781E2D5D29096FCFC95266D0FEFC</t>
  </si>
  <si>
    <t>JChemExcelKgAAAB+LCAAAAAAABADtvQdgHEmWJSYvbcp7f0r1StfgdKEIgGATJNiQQBDswYjN5pLsHWlHIymrKoHKZVZlXWYWQMztnbz33nvvvffee++997o7nU4n99//P1xmZAFs9s5K2smeIYCqyB8/fnwfPyJOTl6cbH325Z2TrZM7L6a7y+nWcrrXTOkv/v/u3p3pvel0upze+38AWjYP+ioAAAA=</t>
  </si>
  <si>
    <t>AD390AB6E1D9866EFB384DCF247C7D27</t>
  </si>
  <si>
    <t>JChemExcelKQAAAB+LCAAAAAAABADtvQdgHEmWJSYvbcp7f0r1StfgdKEIgGATJNiQQBDswYjN5pLsHWlHIymrKoHKZVZlXWYWQMztnbz33nvvvffee++997o7nU4n99//P1xmZAFs9s5K2smeIYCqyB8/fnwfPyJOTnbxv63Pvrzz4mTv5OTF1snJPfo/PffuTPenePbvnJzs/T8ewBrXKQAAAA==</t>
  </si>
  <si>
    <t>3042207D460A738402B4A5440137123B</t>
  </si>
  <si>
    <t>JChemExcelHwAAAB+LCAAAAAAABADtvQdgHEmWJSYvbcp7f0r1StfgdKEIgGATJNiQQBDswYjN5pLsHWlHIymrKoHKZVZlXWYWQMztnbz33nvvvffee++997o7nU4n99//P1xmZAFs9s5K2smeIYCqyB8/fnwfPyJOprvT6XRvOd06Ke/QPy9Opvfog+beHfp0uvv/APsJxnUfAAAA</t>
  </si>
  <si>
    <t>66F5D666B9A4CB3A882B9A4397918C90</t>
  </si>
  <si>
    <t>JChemExcelJgAAAB+LCAAAAAAABADtvQdgHEmWJSYvbcp7f0r1StfgdKEIgGATJNiQQBDswYjN5pLsHWlHIymrKoHKZVZlXWYWQMztnbz33nvvvffee++997o7nU4n99//P1xmZAFs9s5K2smeIYCqyB8/fnwfPyJOyunudDrdOjl5Md2jn8vpveV0udy7d2e6P8Wzf2c63f1/AL8sTMEmAAAA</t>
  </si>
  <si>
    <t>F1F22776678A5FB09C8405D712E479AE</t>
  </si>
  <si>
    <t>JChemExcelKgAAAB+LCAAAAAAABADtvQdgHEmWJSYvbcp7f0r1StfgdKEIgGATJNiQQBDswYjN5pLsHWlHIymrKoHKZVZlXWYWQMztnbz33nvvvffee++997o7nU4n99//P1xmZAFs9s5K2smeIYCqyB8/fnwfPyJOTr482frsyzvT3el0q1ru3pnuTZvp1ovpvenWyZ2p/HPv5M5y7/8BrewlbioAAAA=</t>
  </si>
  <si>
    <t>A7311B1A95BFB18DCDAAE7FB08D2BE46</t>
  </si>
  <si>
    <t>JChemExcelJQAAAB+LCAAAAAAABADtvQdgHEmWJSYvbcp7f0r1StfgdKEIgGATJNiQQBDswYjN5pLsHWlHIymrKoHKZVZlXWYWQMztnbz33nvvvffee++997o7nU4n99//P1xmZAFs9s5K2smeIYCqyB8/fnwfPyJOXpxsffblnZPdk+neFM/ei135ZHqP/tp6dmc6vff/AGyKdPclAAAA</t>
  </si>
  <si>
    <t>2F358F79497D3EF35D4AC891300046C4</t>
  </si>
  <si>
    <t>JChemExcelKgAAAB+LCAAAAAAABADtvQdgHEmWJSYvbcp7f0r1StfgdKEIgGATJNiQQBDswYjN5pLsHWlHIymrKoHKZVZlXWYWQMztnbz33nvvvffee++997o7nU4n99//P1xmZAFs9s5K2smeIYCqyB8/fnwfPyJOTrZO7tD/Tl7snmx99oL+2v3syztb070pnr0703v8y707L/4fdFNSPCoAAAA=</t>
  </si>
  <si>
    <t>57DFE31BD098C3B6E2EE7F8A3AF51F12</t>
  </si>
  <si>
    <t>JChemExcelJQAAAB+LCAAAAAAABADtvQdgHEmWJSYvbcp7f0r1StfgdKEIgGATJNiQQBDswYjN5pLsHWlHIymrKoHKZVZlXWYWQMztnbz33nvvvffee++997o7nU4n99//P1xmZAFs9s5K2smeIYCqyB8/fnwfPyK+/Oxk68V0d7qc7k3x7E1370zv4bet6b07y/3pcrnc/38AhShlJCUAAAA=</t>
  </si>
  <si>
    <t>5BF359ACEAA47F7D22A341EF237BA2FD</t>
  </si>
  <si>
    <t>JChemExcelKAAAAB+LCAAAAAAABADtvQdgHEmWJSYvbcp7f0r1StfgdKEIgGATJNiQQBDswYjN5pLsHWlHIymrKoHKZVZlXWYWQMztnbz33nvvvffee++997o7nU4n99//P1xmZAFs9s5K2smeIYCqyB8/fnwfPyJOvpzuTqfTrS9P7ky3XpxM9+iPe0v69Q7/M7033Tsp70x3/x8n7ILHKAAAAA==</t>
  </si>
  <si>
    <t>344121D464C1655596F9CCE651BEC5AC</t>
  </si>
  <si>
    <t>JChemExcelQwAAAB+LCAAAAAAABADtvQdgHEmWJSYvbcp7f0r1StfgdKEIgGATJNiQQBDswYjN5pLsHWlHIymrKoHKZVZlXWYWQMztnbz33nvvvffee++997o7nU4n99//P1xmZAFs9s5K2smeIYCqyB8/fnwfPyJOvvzeye/5e377+1snW599eefF7sl073vLb39/Od16wZ9M702n063p9N6dF/snJy+2Tu6cnOzfme6d7N6Z3p/iuf//AJIihKlDAAAA</t>
  </si>
  <si>
    <t>B47B1A62566A95CA5B7D4EBFBDEB3A49</t>
  </si>
  <si>
    <t>JChemExcelLwAAAB+LCAAAAAAABADtvQdgHEmWJSYvbcp7f0r1StfgdKEIgGATJNiQQBDswYjN5pLsHWlHIymrKoHKZVZlXWYWQMztnbz33nvvvffee++997o7nU4n99//P1xmZAFs9s5K2smeIYCqyB8/fnwfPyJOvpzuTqfTrSn92Jsut5bLvTvTe1P+6N6dk/3PXpycvNi/c3Kff7n//wBKMcAOLwAAAA==</t>
  </si>
  <si>
    <t>BD06163D479370F7EF0BF507F7FF88A5</t>
  </si>
  <si>
    <t>JChemExcelKgAAAB+LCAAAAAAABADtvQdgHEmWJSYvbcp7f0r1StfgdKEIgGATJNiQQBDswYjN5pLsHWlHIymrKoHKZVZlXWYWQMztnbz33nvvvffee++997o7nU4n99//P1xmZAFs9s5K2smeIYCqyB8/fnwfPyJOtl7snpx8eXKye2e6N51uLb+3/Pb39+5M703pjy+n+1M8+3em03v/D/llLuoqAAAA</t>
  </si>
  <si>
    <t>976EA69C3BA5C781E921AB729E4A08A3</t>
  </si>
  <si>
    <t>JChemExcelLgAAAB+LCAAAAAAABADtvQdgHEmWJSYvbcp7f0r1StfgdKEIgGATJNiQQBDswYjN5pLsHWlHIymrKoHKZVZlXWYWQMztnbz33nvvvffee++997o7nU4n99//P1xmZAFs9s5K2smeIYCqyB8/fnwfPyJOTrZO7kx3p9Pp1ouTrc++vHPy5cneZ/TpZ/TFj7+4w5+92Du5Q62mu/8PS884Ui4AAAA=</t>
  </si>
  <si>
    <t>513A101C770AA657A78E9BFC175A05EE</t>
  </si>
  <si>
    <t>JChemExcelKAAAAB+LCAAAAAAABADtvQdgHEmWJSYvbcp7f0r1StfgdKEIgGATJNiQQBDswYjN5pLsHWlHIymrKoHKZVZlXWYWQMztnbz33nvvvffee++997o7nU4n99//P1xmZAFs9s5K2smeIYCqyB8/fnwfPyJOvpzuTqd7y+lyuvXi5N7JyYutk+n+FM/+nZOTe3eme9Pp7pcn/w98YO40KAAAAA==</t>
  </si>
  <si>
    <t>6A28240E0D3A9BF35FD0097C6FC34067</t>
  </si>
  <si>
    <t>JChemExcelKgAAAB+LCAAAAAAABADtvQdgHEmWJSYvbcp7f0r1StfgdKEIgGATJNiQQBDswYjN5pLsHWlHIymrKoHKZVZlXWYWQMztnbz33nvvvffee++997o7nU4n99//P1xmZAFs9s5K2smeIYCqyB8/fnwfPyJOOs+XL7c++/LO1ve+3P7+nS9PTr734pPvb53cof+d/D/piyIvKgAAAA==</t>
  </si>
  <si>
    <t>801887DEA4FC181DA1E0858171EEEE53</t>
  </si>
  <si>
    <t>JChemExcelIQAAAB+LCAAAAAAABADtvQdgHEmWJSYvbcp7f0r1StfgdKEIgGATJNiQQBDswYjN5pLsHWlHIymrKoHKZVZlXWYWQMztnbz33nvvvffee++997o7nU4n99//P1xmZAFs9s5K2smeIYCqyB8/fnwfPyK+/Oxk68XJyXR32ky3lrt3pntTPHt3pvf4l3v/D/QQ2dohAAAA</t>
  </si>
  <si>
    <t>B2EBEC94CD24FEA957F5D30E728A6827</t>
  </si>
  <si>
    <t>JChemExcelFQAAAB+LCAAAAAAABADtvQdgHEmWJSYvbcp7f0r1StfgdKEIgGATJNiQQBDswYjN5pLsHWlHIymrKoHKZVZlXWYWQMztnbz33nvvvffee++997o7nU4n99//P1xmZAFs9s5K2smeIYCqyB8/fnwfPyJenNCz9eLO1snWszvP7pxsffblnS//HxvCRVUVAAAA</t>
  </si>
  <si>
    <t>E39506438D674C2F43ECEEE55F303C06</t>
  </si>
  <si>
    <t>JChemExcelKgAAAB+LCAAAAAAABADtvQdgHEmWJSYvbcp7f0r1StfgdKEIgGATJNiQQBDswYjN5pLsHWlHIymrKoHKZVZlXWYWQMztnbz33nvvvffee++997o7nU4n99//P1xmZAFs9s5K2smeIYCqyB8/fnwfPyK+/Oxk98XWyXRvOr03xXOv2btzcrJ/gg/v8yf36e8Xu/v/Dz9tBwEqAAAA</t>
  </si>
  <si>
    <t>B970C6CF7D5E4D9D388E138DA2F57565</t>
  </si>
  <si>
    <t>JChemExcelHgAAAB+LCAAAAAAABADtvQdgHEmWJSYvbcp7f0r1StfgdKEIgGATJNiQQBDswYjN5pLsHWlHIymrKoHKZVZlXWYWQMztnbz33nvvvffee++997o7nU4n99//P1xmZAFs9s5K2smeIYCqyB8/fnwfPyJOTk62Pvvyzovp7hTPrv61hz+We/8PnJ+E2B4AAAA=</t>
  </si>
  <si>
    <t>3590D406E38633E4D2758B4666D2DFC4</t>
  </si>
  <si>
    <t>JChemExcelNAAAAB+LCAAAAAAABADtvQdgHEmWJSYvbcp7f0r1StfgdKEIgGATJNiQQBDswYjN5pLsHWlHIymrKoHKZVZlXWYWQMztnbz33nvvvffee++997o7nU4n99//P1xmZAFs9s5K2smeIYCqyB8/fnwfPyJOTl5snZzceb312Zd38P/p7nQ63Top70y3prt3TvDRi+kefXZvSR/faab3pnv/D3+a/vg0AAAA</t>
  </si>
  <si>
    <t>512734CBDFB9E942A9FFDA37A5C189D8</t>
  </si>
  <si>
    <t>JChemExcelJgAAAB+LCAAAAAAABADtvQdgHEmWJSYvbcp7f0r1StfgdKEIgGATJNiQQBDswYjN5pLsHWlHIymrKoHKZVZlXWYWQMztnbz33nvvvffee++997o7nU4n99//P1xmZAFs9s5K2smeIYCqyB8/fnwfPyJOprvL5dbJdG+KZ+/OdOukvDPdPdn67Ms7L07unfBz7/8BIFkvfyYAAAA=</t>
  </si>
  <si>
    <t>5E4ABCDF406E6EA8D4F44924C8C541E1</t>
  </si>
  <si>
    <t>JChemExcelJgAAAB+LCAAAAAAABADtvQdgHEmWJSYvbcp7f0r1StfgdKEIgGATJNiQQBDswYjN5pLsHWlHIymrKoHKZVZlXWYWQMztnbz33nvvvffee++997o7nU4n99//P1xmZAFs9s5K2smeIYCqyB8/fnwfPyK+/Oxk68XJ7gme3Tsv9k5OXmydTO9Np9P9L0++nO5P7905Odn7fwCrNuxxJgAAAA==</t>
  </si>
  <si>
    <t>20B8091C12C85B5E54C785AB667AFEBB</t>
  </si>
  <si>
    <t>JChemExcelIwAAAB+LCAAAAAAABADtvQdgHEmWJSYvbcp7f0r1StfgdKEIgGATJNiQQBDswYjN5pLsHWlHIymrKoHKZVZlXWYWQMztnbz33nvvvffee++997o7nU4n99//P1xmZAFs9s5K2smeIYCqyB8/fnwfPyK+9+X297/34pPvb3325Z3p7nI6Xe6enOCPFyfTvSmevf8H7gE3vCMAAAA=</t>
  </si>
  <si>
    <t>2EFF199E5FBAD18E595791239C6107EC</t>
  </si>
  <si>
    <t>JChemExcelIwAAAB+LCAAAAAAABADtvQdgHEmWJSYvbcp7f0r1StfgdKEIgGATJNiQQBDswYjN5pLsHWlHIymrKoHKZVZlXWYWQMztnbz33nvvvffee++997o7nU4n99//P1xmZAFs9s5K2smeIYCqyB8/fnwfPyJenGx99uWd6e50ujWdTne/PDn5cro3xbN3Z3pvOm2m9/4fzEJ49CMAAAA=</t>
  </si>
  <si>
    <t>0CF57A349C555B5A187FBBB10089532B</t>
  </si>
  <si>
    <t>JChemExcelJgAAAB+LCAAAAAAABADtvQdgHEmWJSYvbcp7f0r1StfgdKEIgGATJNiQQBDswYjN5pLsHWlHIymrKoHKZVZlXWYWQMztnbz33nvvvffee++997o7nU4n99//P1xmZAFs9s5K2smeIYCqyB8/fnwfPyJOTk6Wu8vldOvFydZnX945+XK6N51Ot6bTvTsn907w3Luz3P1/AO8CHs8mAAAA</t>
  </si>
  <si>
    <t>8F64EEF9CD7413D7D7EB8304193AD733</t>
  </si>
  <si>
    <t>JChemExcelLQAAAB+LCAAAAAAABADtvQdgHEmWJSYvbcp7f0r1StfgdKEIgGATJNiQQBDswYjN5pLsHWlHIymrKoHKZVZlXWYWQMztnbz33nvvvffee++997o7nU4n99//P1xmZAFs9s5K2smeIYCqyB8/fnwfPyK+/Oxk68XuycmLrZPp3nQ6vfflyZfTe9O9Oycnu3em+99bfvv7y+n9E3qm+/f/H9A/lQwtAAAA</t>
  </si>
  <si>
    <t>EF0C7DAE321837DC17E6A62EED3E7E5F</t>
  </si>
  <si>
    <t>JChemExcelKAAAAB+LCAAAAAAABADtvQdgHEmWJSYvbcp7f0r1StfgdKEIgGATJNiQQBDswYjN5pLsHWlHIymrKoHKZVZlXWYWQMztnbz33nvvvffee++997o7nU4n99//P1xmZAFs9s5K2smeIYCqyB8/fnwfPyJOTrY++/LOi92TkxdbJye7d6a70+l068vpHn6clHem070v6Z/d/wew10/5KAAAAA==</t>
  </si>
  <si>
    <t>2FBFA0B73F37A0B19A114DB3BB14F341</t>
  </si>
  <si>
    <t>JChemExcelKwAAAB+LCAAAAAAABADtvQdgHEmWJSYvbcp7f0r1StfgdKEIgGATJNiQQBDswYjN5pLsHWlHIymrKoHKZVZlXWYWQMztnbz33nvvvffee++997o7nU4n99//P1xmZAFs9s5K2smeIYCqyB8/fnwfPyJOvpzuTqfTrel09850j355cbL12Zd3pvfw4bM70+m9k5L+ne59efL/ALWY7u8rAAAA</t>
  </si>
  <si>
    <t>6E8544D1FA8297C18593DD28D7067EF6</t>
  </si>
  <si>
    <t>JChemExcelMQAAAB+LCAAAAAAABADtvQdgHEmWJSYvbcp7f0r1StfgdKEIgGATJNiQQBDswYjN5pLsHWlHIymrKoHKZVZlXWYWQMztnbz33nvvvffee++997o7nU4n99//P1xmZAFs9s5K2smeIYCqyB8/fnwfPyJenGx99uLOi+nudDrdmk53T8o7070Kv+7dmd7Dhy8+O9miFnemW/ju3v8DRLXOQTEAAAA=</t>
  </si>
  <si>
    <t>F6BE6B6A3908AAE1A52BC01E439C185B</t>
  </si>
  <si>
    <t>JChemExcelJQAAAB+LCAAAAAAABADtvQdgHEmWJSYvbcp7f0r1StfgdKEIgGATJNiQQBDswYjN5pLsHWlHIymrKoHKZVZlXWYWQMztnbz33nvvvffee++997o7nU4n99//P1xmZAFs9s5K2smeIYCqyB8/fnwfPyJOvpzuTqfTrel098uTO9O95XLrZOvkDv16bzldTrde0Gf3/h8IN1fZJQAAAA==</t>
  </si>
  <si>
    <t>B2183238C29F18E42B870FCFD3A138B8</t>
  </si>
  <si>
    <t>JChemExcelKwAAAB+LCAAAAAAABADtvQdgHEmWJSYvbcp7f0r1StfgdKEIgGATJNiQQBDswYjN5pLsHWlHIymrKoHKZVZlXWYWQMztnbz33nvvvffee++997o7nU4n99//P1xmZAFs9s5K2smeIYCqyB8/fnwfPyJOvpzuTqdbL062PvvyzsnJ3mcvXmyd3OG/pvemePbu3aF/d0/K/wc+L9fmKwAAAA==</t>
  </si>
  <si>
    <t>8E9561D2A71EC9BF97DD5C89CB7669FE</t>
  </si>
  <si>
    <t>JChemExcelKAAAAB+LCAAAAAAABADtvQdgHEmWJSYvbcp7f0r1StfgdKEIgGATJNiQQBDswYjN5pLsHWlHIymrKoHKZVZlXWYWQMztnbz33nvvvffee++997o7nU4n99//P1xmZAFs9s5K2smeIYCqyB8/fnwfPyJeTHeX0+V0b7o73TqZ3pvSs49/pvf27yyXeycn909OXpyc3P9/AM9tNBMoAAAA</t>
  </si>
  <si>
    <t>2A22C48AC3DB9C807354BACD0B0BD5E6</t>
  </si>
  <si>
    <t>JChemExcelHQAAAB+LCAAAAAAABADtvQdgHEmWJSYvbcp7f0r1StfgdKEIgGATJNiQQBDswYjN5pLsHWlHIymrKoHKZVZlXWYWQMztnbz33nvvvffee++997o7nU4n99//P1xmZAFs9s5K2smeIYCqyB8/fnwfPyJOTrZO7pxsfTndndKzh3+mu3v0yWdf3vny/wEYkpNSHQAAAA==</t>
  </si>
  <si>
    <t>3C1666CBF8A59F107596A9C228414AA3</t>
  </si>
  <si>
    <t>JChemExcelNwAAAB+LCAAAAAAABADtvQdgHEmWJSYvbcp7f0r1StfgdKEIgGATJNiQQBDswYjN5pLsHWlHIymrKoHKZVZlXWYWQMztnbz33nvvvffee++997o7nU4n99//P1xmZAFs9s5K2smeIYCqyB8/fnwfPyJOTrZO7tD/vjzZ+uzLOy92T05ebJ2c7N6Z7i2n0+nWcu/O9B5+ae7dme7jl5PyznS6//8ALUEmLzcAAAA=</t>
  </si>
  <si>
    <t>8538C7B0633AFCFFB10B5D911153A8F6</t>
  </si>
  <si>
    <t>JChemExcelQQAAAB+LCAAAAAAABADtvQdgHEmWJSYvbcp7f0r1StfgdKEIgGATJNiQQBDswYjN5pLsHWlHIymrKoHKZVZlXWYWQMztnbz33nvvvffee++997o7nU4n99//P1xmZAFs9s5K2smeIYCqyB8/fnwfPyK+PPneye/57e/vfsk/tk62vryjH9xZ7k3vTafTrZPyzpR+259uLafL6d7+nen9avrpFM+n0/v/Dw02t7BBAAAA</t>
  </si>
  <si>
    <t>AC16ADF86A062B2DDA79A8BE3AEE2A1A</t>
  </si>
  <si>
    <t>JChemExcelKQAAAB+LCAAAAAAABADtvQdgHEmWJSYvbcp7f0r1StfgdKEIgGATJNiQQBDswYjN5pLsHWlHIymrKoHKZVZlXWYWQMztnbz33nvvvffee++997o7nU4n99//P1xmZAFs9s5K2smeIYCqyB8/fnwfPyJOdk9ebJ2cfLl7Z7o3nW4tv7f89vf37kzvTemPL6f7Uzz7d6bTe/8PA/DPrikAAAA=</t>
  </si>
  <si>
    <t>7ACEFF5D487F5D1E4151F09C2489B823</t>
  </si>
  <si>
    <t>JChemExcelGgAAAB+LCAAAAAAABADtvQdgHEmWJSYvbcp7f0r1StfgdKEIgGATJNiQQBDswYjN5pLsHWlHIymrKoHKZVZlXWYWQMztnbz33nvvvffee++997o7nU4n99//P1xmZAFs9s5K2smeIYCqyB8/fnwfPyJOTr482frsyzvT3WU13XpBP6d7Uzx7/w/C3R0DGgAAAA==</t>
  </si>
  <si>
    <t>9799C69369FD1070D304E9C5C38FD244</t>
  </si>
  <si>
    <t>JChemExcelLwAAAB+LCAAAAAAABADtvQdgHEmWJSYvbcp7f0r1StfgdKEIgGATJNiQQBDswYjN5pLsHWlHIymrKoHKZVZlXWYWQMztnbz33nvvvffee++997o7nU4n99//P1xmZAFs9s5K2smeIYCqyB8/fnwfPyKeTXen0+nWdLp758XeycmLrZMT+ffHX9w52frsyztfnkzvTfHcu3Nysvf/AIoGt6cvAAAA</t>
  </si>
  <si>
    <t>FC6FC4C7C1B2097987CC021B12BEF25F</t>
  </si>
  <si>
    <t>JChemExcelKgAAAB+LCAAAAAAABADtvQdgHEmWJSYvbcp7f0r1StfgdKEIgGATJNiQQBDswYjN5pLsHWlHIymrKoHKZVZlXWYWQMztnbz33nvvvffee++997o7nU4n99//P1xmZAFs9s5K2smeIYCqyB8/fnwfPyJOyunudDrdOinv0D9ffu/k9/z29/dO6KHf8Ovy3nS6nN67M939fwAByr9iKgAAAA==</t>
  </si>
  <si>
    <t>00ADD1DE40599EB3840310F7DDF4D7AD</t>
  </si>
  <si>
    <t>JChemExcelKQAAAB+LCAAAAAAABADtvQdgHEmWJSYvbcp7f0r1StfgdKEIgGATJNiQQBDswYjN5pLsHWlHIymrKoHKZVZlXWYWQMztnbz33nvvvffee++997o7nU4n99//P1xmZAFs9s5K2smeIYCqyB8/fnwfPyJOdk9Otk5Ovty9M92bTreW31t++/t7d6b3pvTHl9P9KZ79O9Ppvf8HPAqWzykAAAA=</t>
  </si>
  <si>
    <t>62AB472B5F04F29BC4FC388974A3D82D</t>
  </si>
  <si>
    <t>JChemExcelOgAAAB+LCAAAAAAABADtvQdgHEmWJSYvbcp7f0r1StfgdKEIgGATJNiQQBDswYjN5pLsHWlHIymrKoHKZVZlXWYWQMztnbz33nvvvffee++997o7nU4n99//P1xmZAFs9s5K2smeIYCqyB8/fnwfPyJOprvL5dbJnSn+v/vi9dZnX97B/6d79El5Zzrdmk738Mu96XRJf9y782L/5OTFycn+/wNEfyF5OgAAAA==</t>
  </si>
  <si>
    <t>9A5EF5896408253AD86117AAA9CA8A99</t>
  </si>
  <si>
    <t>JChemExcelOQAAAB+LCAAAAAAABADtvQdgHEmWJSYvbcp7f0r1StfgdKEIgGATJNiQQBDswYjN5pLsHWlHIymrKoHKZVZlXWYWQMztnbz33nvvvffee++997o7nU4n99//P1xmZAFs9s5K2smeIYCqyB8/fnwfPyKeTXen9GydfDndw88X03vL6XK6z7+fbH325Z2TF/dPTr48Obl/Zzq9t0//7J2Ud6a7/w+hLmCDOQAAAA==</t>
  </si>
  <si>
    <t>1EC444F9FDF0564B3A26E441DD542EDA</t>
  </si>
  <si>
    <t>JChemExcelLwAAAB+LCAAAAAAABADtvQdgHEmWJSYvbcp7f0r1StfgdKEIgGATJNiQQBDswYjN5pLsHWlHIymrKoHKZVZlXWYWQMztnbz33nvvvffee++997o7nU4n99//P1xmZAFs9s5K2smeIYCqyB8/fnwfPyJOdk9efHay9WL3znRvOp1uTad7d6b36Jdqee/OdH/Kn+3fObn/2YuTkxf3/x9tl0HBLwAAAA==</t>
  </si>
  <si>
    <t>ABEE15121C926B7A8FB9C58955B9E338</t>
  </si>
  <si>
    <t>JChemExcelPAAAAB+LCAAAAAAABADtvQdgHEmWJSYvbcp7f0r1StfgdKEIgGATJNiQQBDswYjN5pLsHWlHIymrKoHKZVZlXWYWQMztnbz33nvvvffee++997o7nU4n99//P1xmZAFs9s5K2smeIYCqyB8/fnwfPyJOvvzeye/5e377+7snL7ZO6Ff67cs7073pdLp18uMnJ/e2vrxz8mL/hH47Odm/Qx9O70/x3L+z3Pt/AJix1H08AAAA</t>
  </si>
  <si>
    <t>71B00C4315D653402C5FE90A6AF84A52</t>
  </si>
  <si>
    <t>JChemExcelNgAAAB+LCAAAAAAABADtvQdgHEmWJSYvbcp7f0r1StfgdKEIgGATJNiQQBDswYjN5pLsHWlHIymrKoHKZVZlXWYWQMztnbz33nvvvffee++997o7nU4n99//P1xmZAFs9s5K2smeIYCqyB8/fnwfPyJOvvx9X3x2snX3ZOuzL+98eXLn953uTvHs2i/ooz18sjXdu3Oy9ewO/e/Z/wMQI5VQNgAAAA==</t>
  </si>
  <si>
    <t>3B997F79075C277115454B1638D9EDB1</t>
  </si>
  <si>
    <t>JChemExcelJwAAAB+LCAAAAAAABADtvQdgHEmWJSYvbcp7f0r1StfgdKEIgGATJNiQQBDswYjN5pLsHWlHIymrKoHKZVZlXWYWQMztnbz33nvvvffee++997o7nU4n99//P1xmZAFs9s5K2smeIYCqyB8/fnwfPyJOprvL5d7J1mdf3jm599nJ1gk99+68mO5Nd6f70+l066S8M53u/z9oYEqQJwAAAA==</t>
  </si>
  <si>
    <t>A3CDC68D45798A5132839B5E87801C3D</t>
  </si>
  <si>
    <t>JChemExcelJgAAAB+LCAAAAAAABADtvQdgHEmWJSYvbcp7f0r1StfgdKEIgGATJNiQQBDswYjN5pLsHWlHIymrKoHKZVZlXWYWQMztnbz33nvvvffee++997o7nU4n99//P1xmZAFs9s5K2smeIYCqyB8/fnwfPyJOprvVcrp1cme6e/LldG9Kz9Z0787J1mdf3nkxvbfEB/dO/h8twGYAJgAAAA==</t>
  </si>
  <si>
    <t>20B96D31D3DA72E49C07AE6BEE6A3261</t>
  </si>
  <si>
    <t>JChemExcelKQAAAB+LCAAAAAAABADtvQdgHEmWJSYvbcp7f0r1StfgdKEIgGATJNiQQBDswYjN5pLsHWlHIymrKoHKZVZlXWYWQMztnbz33nvvvffee++997o7nU4n99//P1xmZAFs9s5K2smeIYCqyB8/fnwfPyKeTXen0+nWdLp7Z7pX4Ze9Oydbn31558XJ9N5yOd0/wbO8t///AC56AvApAAAA</t>
  </si>
  <si>
    <t>D5E046EEFC47A372B8104B70D0C98C04</t>
  </si>
  <si>
    <t>JChemExcelJQAAAB+LCAAAAAAABADtvQdgHEmWJSYvbcp7f0r1StfgdKEIgGATJNiQQBDswYjN5pLsHWlHIymrKoHKZVZlXWYWQMztnbz33nvvvffee++997o7nU4n99//P1xmZAFs9s5K2smeIYCqyB8/fnwfPyJOTnZP6Hmxe7L12Zd3XpycTPem1XRruXdnem86nW49uzOd3vt/AEkvr/glAAAA</t>
  </si>
  <si>
    <t>6F74E68EFB8786DD384D82230F726BA9</t>
  </si>
  <si>
    <t>JChemExcelKQAAAB+LCAAAAAAABADtvQdgHEmWJSYvbcp7f0r1StfgdKEIgGATJNiQQBDswYjN5pLsHWlHIymrKoHKZVZlXWYWQMztnbz33nvvvffee++997o7nU4n99//P1xmZAFs9s5K2smeIYCqyB8/fnwfPyJOTrZO7tD/Tra+xP+nu9PpdGs63b0z3Zvi2buzvDddTpf3/h9o+cowKQAAAA==</t>
  </si>
  <si>
    <t>B5B2503B0891FB318CC857DE642BD9C0</t>
  </si>
  <si>
    <t>JChemExcelOgAAAB+LCAAAAAAABADtvQdgHEmWJSYvbcp7f0r1StfgdKEIgGATJNiQQBDswYjN5pLsHWlHIymrKoHKZVZlXWYWQMztnbz33nvvvffee++997o7nU4n99//P1xmZAFs9s5K2smeIYCqyB8/fnwfPyJOTnY/O9l6dufksxP63+7Ji70TerZOTu599oJ+7PPHW/j1zmdfotX+nc9efHnvzsne/wOArQXZOgAAAA==</t>
  </si>
  <si>
    <t>3F7802096722DA941DAFC857A7FF2E65</t>
  </si>
  <si>
    <t>JChemExcelMgAAAB+LCAAAAAAABADtvQdgHEmWJSYvbcp7f0r1StfgdKEIgGATJNiQQBDswYjN5pLsHWlHIymrKoHKZVZlXWYWQMztnbz33nvvvffee++997o7nU4n99//P1xmZAFs9s5K2smeIYCqyB8/fnwfPyK+/Oxk68XuycnWyd5n9O+Lkzv4Qf++2Lvz5cnJ7p2Te5+9eHGy/9nJvRP65rOT/f8HpgMc6zIAAAA=</t>
  </si>
  <si>
    <t>EE17715A9BA3A9E48BFF2C298CA2A6C9</t>
  </si>
  <si>
    <t>JChemExcelHgAAAB+LCAAAAAAABADtvQdgHEmWJSYvbcp7f0r1StfgdKEIgGATJNiQQBDswYjN5pLsHWlHIymrKoHKZVZlXWYWQMztnbz33nvvvffee++997o7nU4n99//P1xmZAFs9s5K2smeIYCqyB8/fnwfPyJeT3eXy+nWi5Otz768M92bTree1Hem0+neSXmn2f1/AEEGWgkeAAAA</t>
  </si>
  <si>
    <t>68DB672E094B0E11D1B898B9215C4DCA</t>
  </si>
  <si>
    <t>JChemExcelHAAAAB+LCAAAAAAABADtvQdgHEmWJSYvbcp7f0r1StfgdKEIgGATJNiQQBDswYjN5pLsHWlHIymrKoHKZVZlXWYWQMztnbz33nvvvffee++997o7nU4n99//P1xmZAFs9s5K2smeIYCqyB8/fnwfPyJOvpzuTunZm26d3FlOt158drL14s4L+nV37/8B9sz5jRwAAAA=</t>
  </si>
  <si>
    <t>770B42443AF48CD1CAE65767947FF97A</t>
  </si>
  <si>
    <t>JChemExcelKgAAAB+LCAAAAAAABADtvQdgHEmWJSYvbcp7f0r1StfgdKEIgGATJNiQQBDswYjN5pLsHWlHIymrKoHKZVZlXWYWQMztnbz33nvvvffee++997o7nU4n99//P1xmZAFs9s5K2smeIYCqyB8/fnwfPyKe1NPd6XS69+Jk67Mv75zc23pxcjLdn9773vLb35/en+LZv39nujfd/X8Atp+O/SoAAAA=</t>
  </si>
  <si>
    <t>10D342A56741B47608ED98FE7B3D74DE</t>
  </si>
  <si>
    <t>JChemExcelLwAAAB+LCAAAAAAABADtvQdgHEmWJSYvbcp7f0r1StfgdKEIgGATJNiQQBDswYjN5pLsHWlHIymrKoHKZVZlXWYWQMztnbz33nvvvffee++997o7nU4n99//P1xmZAFs9s5K2smeIYCqyB8/fnwfPyJOprvT6dZJeWe6NZ3ufnlysvXZl3denOyd4Nm78xp/8kf38MG9/wcg9KZ+LwAAAA==</t>
  </si>
  <si>
    <t>277A7860B4DADB52E63084135AC0BA98</t>
  </si>
  <si>
    <t>JChemExcelNAAAAB+LCAAAAAAABADtvQdgHEmWJSYvbcp7f0r1StfgdKEIgGATJNiQQBDswYjN5pLsHWlHIymrKoHKZVZlXWYWQMztnbz33nvvvffee++997o7nU4n99//P1xmZAFs9s5K2smeIYCqyB8/fnwfPyJOTrZO7rzYOpnuTvHs3nm99dmXd/D/6R79vTWd7t05wZ8vpvfoz5M71fLe/wMhcTVFNAAAAA==</t>
  </si>
  <si>
    <t>8522E176C282B7121FD0EA86699742A1</t>
  </si>
  <si>
    <t>JChemExcelMgAAAB+LCAAAAAAABADtvQdgHEmWJSYvbcp7f0r1StfgdKEIgGATJNiQQBDswYjN5pLsHWlHIymrKoHKZVZlXWYWQMztnbz33nvvvffee++997o7nU4n99//P1xmZAFs9s5K2smeIYCqyB8/fnwfPyJOvpzuTqdbX57coX+nu3dOtj778s6Lk5O9k+k9+uSk5M/vfbl3Z7o/nS6n0/3/B/ZpRSAyAAAA</t>
  </si>
  <si>
    <t>0B583611FE735137197093D82E152DAC</t>
  </si>
  <si>
    <t>JChemExcelMgAAAB+LCAAAAAAABADtvQdgHEmWJSYvbcp7f0r1StfgdKEIgGATJNiQQBDswYjN5pLsHWlHIymrKoHKZVZlXWYWQMztnbz33nvvvffee++997o7nU4n99//P1xmZAFs9s5K2smeIYCqyB8/fnwfPyJOprvT6dbJneXWcvfOdG9Kf7w42frsyzsn905OXmydTPenS3zf7N85Obl3Zzrd+38A+EaxsTIAAAA=</t>
  </si>
  <si>
    <t>C712467FA74AABB497767AD7738BE5B3</t>
  </si>
  <si>
    <t>JChemExcelKAAAAB+LCAAAAAAABADtvQdgHEmWJSYvbcp7f0r1StfgdKEIgGATJNiQQBDswYjN5pLsHWlHIymrKoHKZVZlXWYWQMztnbz33nvvvffee++997o7nU4n99//P1xmZAFs9s5K2smeIYCqyB8/fnwfPyJOprvVcro13b1zsvXZl3deTPemy+XWyfTedDrdOinvTKf38O/e/wMiB1XPKAAAAA==</t>
  </si>
  <si>
    <t>90D9B350A3046E2AC71C7A54B42264AD</t>
  </si>
  <si>
    <t>JChemExcelLAAAAB+LCAAAAAAABADtvQdgHEmWJSYvbcp7f0r1StfgdKEIgGATJNiQQBDswYjN5pLsHWlHIymrKoHKZVZlXWYWQMztnbz33nvvvffee++997o7nU4n99//P1xmZAFs9s5K2smeIYCqyB8/fnwfPyK+/Oxk62T35OTF1snJ7p3p3pKevem9KZ57d17sn5xM7/Mf90/2/x8cmB2kLAAAAA==</t>
  </si>
  <si>
    <t>52A4E186AF7AA4896B8E2E003AC8A614</t>
  </si>
  <si>
    <t>JChemExcelKQAAAB+LCAAAAAAABADtvQdgHEmWJSYvbcp7f0r1StfgdKEIgGATJNiQQBDswYjN5pLsHWlHIymrKoHKZVZlXWYWQMztnbz33nvvvffee++997o7nU4n99//P1xmZAFs9s5K2smeIYCqyB8/fnwfPyJOvpzuTqfTrZOTF3snJyf0c+/Oi5PpvSk+nN6782Lr5M7Jnel09/8BSxtQFikAAAA=</t>
  </si>
  <si>
    <t>FAF34D72D2D2244999F2F9CB9BB50407</t>
  </si>
  <si>
    <t>JChemExcelJgAAAB+LCAAAAAAABADtvQdgHEmWJSYvbcp7f0r1StfgdKEIgGATJNiQQBDswYjN5pLsHWlHIymrKoHKZVZlXWYWQMztnbz33nvvvffee++997o7nU4n99//P1xmZAFs9s5K2smeIYCqyB8/fnwfPyJOprvT6XRvuvXiZOuzL++c7N178eKzk63X9+5M96d49u9Md0/+H0G6OwAmAAAA</t>
  </si>
  <si>
    <t>D08AFA2D37A4BA9418A03F6B0C22ED86</t>
  </si>
  <si>
    <t>JChemExcelNAAAAB+LCAAAAAAABADtvQdgHEmWJSYvbcp7f0r1StfgdKEIgGATJNiQQBDswYjN5pLsHWlHIymrKoHKZVZlXWYWQMztnbz33nvvvffee++997o7nU4n99//P1xmZAFs9s5K2smeIYCqyB8/fnwfPyKenWw9u0P/m+5Op1v43+4d/eQZ/fLZl3deTPem0+V0a7l3Z3pvil/v/T/SeOHLNAAAAA==</t>
  </si>
  <si>
    <t>8B740111CEADC012F58F77C69E8402BE</t>
  </si>
  <si>
    <t>JChemExcelIgAAAB+LCAAAAAAABADtvQdgHEmWJSYvbcp7f0r1StfgdKEIgGATJNiQQBDswYjN5pLsHWlHIymrKoHKZVZlXWYWQMztnbz33nvvvffee++997o7nU4n99//P1xmZAFs9s5K2smeIYCqyB8/fnwfPyJOprvVcro13b1zsvXZl3deTPemU/pzundnem+K597/A6Sjdr4iAAAA</t>
  </si>
  <si>
    <t>63491FCA04E3A4A1974ECEC6347EA0BA</t>
  </si>
  <si>
    <t>JChemExcelNQAAAB+LCAAAAAAABADtvQdgHEmWJSYvbcp7f0r1StfgdKEIgGATJNiQQBDswYjN5pLsHWlHIymrKoHKZVZlXWYWQMztnbz33nvvvffee++997o7nU4n99//P1xmZAFs9s5K2smeIYCqyB8/fnwfPyJOTrZe7J6cvNg6Odm983rrsy/v4P/Tvel0ujWd7t052Tq5Q/+j//D5i3sn9Nz7fwBRWHunNQAAAA==</t>
  </si>
  <si>
    <t>B147BB125974EFF92AAEDD65488E0011</t>
  </si>
  <si>
    <t>JChemExcelLAAAAB+LCAAAAAAABADtvQdgHEmWJSYvbcp7f0r1StfgdKEIgGATJNiQQBDswYjN5pLsHWlHIymrKoHKZVZlXWYWQMztnbz33nvvvffee++997o7nU4n99//P1xmZAFs9s5K2smeIYCqyB8/fnwfPyJOvpzuTqfTrel09850b7qcTu/hz+V0796dk63Pvrzz4uTkZLk/pW/2/x9gsR9lLAAAAA==</t>
  </si>
  <si>
    <t>CAEBC9B46B626F17CB2666324DD5D608</t>
  </si>
  <si>
    <t>JChemExcelJQAAAB+LCAAAAAAABADtvQdgHEmWJSYvbcp7f0r1StfgdKEIgGATJNiQQBDswYjN5pLsHWlHIymrKoHKZVZlXWYWQMztnbz33nvvvffee++997o7nU4n99//P1xmZAFs9s5K2smeIYCqyB8/fnwfPyJOTrZO7py8mO5Op1vL6d5063vLb39/Od3du7ONz+jZvXPy/wBS3wRhJQAAAA==</t>
  </si>
  <si>
    <t>7EF9A1714168E2AAE92798A6B075E36A</t>
  </si>
  <si>
    <t>JChemExcelIgAAAB+LCAAAAAAABADtvQdgHEmWJSYvbcp7f0r1StfgdKEIgGATJNiQQBDswYjN5pLsHWlHIymrKoHKZVZlXWYWQMztnbz33nvvvffee++997o7nU4n99//P1xmZAFs9s5K2smeIYCqyB8/fnwfPyJOprvL6db3lt/+/nT35M50b0rP1ouT6T38Mr13Z7r3/wClEhBUIgAAAA==</t>
  </si>
  <si>
    <t>4C7A0E5960135E513B13DA1BA4EA580B</t>
  </si>
  <si>
    <t>JChemExcelKQAAAB+LCAAAAAAABADtvQdgHEmWJSYvbcp7f0r1StfgdKEIgGATJNiQQBDswYjN5pLsHWlHIymrKoHKZVZlXWYWQMztnbz33nvvvffee++997o7nU4n99//P1xmZAFs9s5K2smeIYCqyB8/fnwfPyJeTHeX0+nWdLo73VtO79GvJ+WdKf32veW3v793Z7o/XeK36f7/A5SLig4pAAAA</t>
  </si>
  <si>
    <t>2FB3111E3EF94151E8D9C577A3C71996</t>
  </si>
  <si>
    <t>JChemExcelKAAAAB+LCAAAAAAABADtvQdgHEmWJSYvbcp7f0r1StfgdKEIgGATJNiQQBDswYjN5pLsHWlHIymrKoHKZVZlXWYWQMztnbz33nvvvffee++997o7nU4n99//P1xmZAFs9s5K2smeIYCqyB8/fnwfPyK+/Oxk68XJ7snJ7p3p3nQ63VpO9+68uHdycrJ1Mt2f4tm/c3Jy7/8B5MPm/CgAAAA=</t>
  </si>
  <si>
    <t>5063EABDEF8DBC37AF10FCAA490E5919</t>
  </si>
  <si>
    <t>JChemExcelLwAAAB+LCAAAAAAABADtvQdgHEmWJSYvbcp7f0r1StfgdKEIgGATJNiQQBDswYjN5pLsHWlHIymrKoHKZVZlXWYWQMztnbz33nvvvffee++997o7nU4n99//P1xmZAFs9s5K2smeIYCqyB8/fnwfPyJOTrZO7py82D3BLye7d17Qn9O96XTrxcnWZ1/emd6b0oPP7t2ZTpd7/w9M/bH/LwAAAA==</t>
  </si>
  <si>
    <t>8981563AF21E40F59476E42E3020FBEB</t>
  </si>
  <si>
    <t>JChemExcelLgAAAB+LCAAAAAAABADtvQdgHEmWJSYvbcp7f0r1StfgdKEIgGATJNiQQBDswYjN5pLsHWlHIymrKoHKZVZlXWYWQMztnbz33nvvvffee++997o7nU4n99//P1xmZAFs9s5K2smeIYCqyB8/fnwfPyJOTpa7y+l0b7r14uTeycmXJyf37ky3Tl6cbH325Z3p/nS6XO6f4JM7y+nu3v8DAX2jui4AAAA=</t>
  </si>
  <si>
    <t>7A770B520D05E32DDD506F8456A3CCB2</t>
  </si>
  <si>
    <t>JChemExcelIwAAAB+LCAAAAAAABADtvQdgHEmWJSYvbcp7f0r1StfgdKEIgGATJNiQQBDswYjN5pLsHWlHIymrKoHKZVZlXWYWQMztnbz33nvvvffee++997o7nU4n99//P1xmZAFs9s5K2smeIYCqyB8/fnwfPyK+PJnuTqfTrel09850b7qkX19M703x0Ul5Z3rvznTv/wFM1aUwIwAAAA==</t>
  </si>
  <si>
    <t>6F8C09B69F25D24DD50E5BF2E8F3FFB6</t>
  </si>
  <si>
    <t>JChemExcelLgAAAB+LCAAAAAAABADtvQdgHEmWJSYvbcp7f0r1StfgdKEIgGATJNiQQBDswYjN5pLsHWlHIymrKoHKZVZlXWYWQMztnbz33nvvvffee++997o7nU4n99//P1xmZAFs9s5K2smeIYCqyB8/fnwfPyKenWw9u0P/m+5O6dma7t6Z7i2n96ZbL06m+9Ppcjrdv0P/TO99b/nt7+/9P+qNE78uAAAA</t>
  </si>
  <si>
    <t>7C898B846F7B65866E7F7CAE8F933651</t>
  </si>
  <si>
    <t>JChemExcelNwAAAB+LCAAAAAAABADtvQdgHEmWJSYvbcp7f0r1StfgdKEIgGATJNiQQBDswYjN5pLsHWlHIymrKoHKZVZlXWYWQMztnbz33nvvvffee++997o7nU4n99//P1xmZAFs9s5K2smeIYCqyB8/fnwfPyJOyunudDrdmk5377ze+uzLO/j/i5Otk+ne9HvLb39/em+KZ+/enRP+Zv8Ez/7/A4+SIPE3AAAA</t>
  </si>
  <si>
    <t>F8B410487D4C9BC952A225C8D8B8E147</t>
  </si>
  <si>
    <t>JChemExcelJwAAAB+LCAAAAAAABADtvQdgHEmWJSYvbcp7f0r1StfgdKEIgGATJNiQQBDswYjN5pLsHWlHIymrKoHKZVZlXWYWQMztnbz33nvvvffee++997o7nU4n99//P1xmZAFs9s5K2smeIYCqyB8/fnwfPyJOTk5enGx99uWdF7v0697WycnunRP+YHpvOt06uTOdTu99uff/APMKc4AnAAAA</t>
  </si>
  <si>
    <t>F08A675678EDDFAB262F34C9F5D047AF</t>
  </si>
  <si>
    <t>JChemExcelKAAAAB+LCAAAAAAABADtvQdgHEmWJSYvbcp7f0r1StfgdKEIgGATJNiQQBDswYjN5pLsHWlHIymrKoHKZVZlXWYWQMztnbz33nvvvffee++997o7nU4n99//P1xmZAFs9s5K2smeIYCqyB8/fnwfPyJOTqa70+l0azrdvXOy9eJkurecbr24Q/8s9+682Dq5Q//h3/8Ht/PZICgAAAA=</t>
  </si>
  <si>
    <t>766A3E4AD788B0830C87EEDB47F95F15</t>
  </si>
  <si>
    <t>JChemExcelKgAAAB+LCAAAAAAABADtvQdgHEmWJSYvbcp7f0r1StfgdKEIgGATJNiQQBDswYjN5pLsHWlHIymrKoHKZVZlXWYWQMztnbz33nvvvffee++997o7nU4n99//P1xmZAFs9s5K2smeIYCqyB8/fnwfPyJOXpxsffblnZMX093ldGs53Wum063pvSmee3emu3t3pvv4fbn//wD/+HwIKgAAAA==</t>
  </si>
  <si>
    <t>4122A5D04E16627108529B4F74A679CC</t>
  </si>
  <si>
    <t>JChemExcelJwAAAB+LCAAAAAAABADtvQdgHEmWJSYvbcp7f0r1StfgdKEIgGATJNiQQBDswYjN5pLsHWlHIymrKoHKZVZlXWYWQMztnbz33nvvvffee++997o7nU4n99//P1xmZAFs9s5K2smeIYCqyB8/fnwfPyJOvpzuTunZmu7eme5Np/emWy+m+/TBcrp/Z0k/731v+e3v7/0/7ii9WCcAAAA=</t>
  </si>
  <si>
    <t>836C6C9F15D5F2E6689A076D6D3C764D</t>
  </si>
  <si>
    <t>JChemExcelKwAAAB+LCAAAAAAABADtvQdgHEmWJSYvbcp7f0r1StfgdKEIgGATJNiQQBDswYjN5pLsHWlHIymrKoHKZVZlXWYWQMztnbz33nvvvffee++997o7nU4n99//P1xmZAFs9s5K2smeIYCqyB8/fnwfPyJOXuyenLzYOjnZvTPdW06n03vL6db3lt/+/nTv3p3pPn2w9ewO/3///wGVbhxTKwAAAA==</t>
  </si>
  <si>
    <t>F1E125544CD02E6DAAED5CFEE7029FC2</t>
  </si>
  <si>
    <t>JChemExcelMgAAAB+LCAAAAAAABADtvQdgHEmWJSYvbcp7f0r1StfgdKEIgGATJNiQQBDswYjN5pLsHWlHIymrKoHKZVZlXWYWQMztnbz33nvvvffee++997o7nU4n99//P1xmZAFs9s5K2smeIYCqyB8/fnwfPyJOvnfye/6e3/7+1ovdE3roj29/f3e6N51Ot748md6b4pdnd6b37kyne3dOtj778s6L/wcQOqu2MgAAAA==</t>
  </si>
  <si>
    <t>164F37A522971198E4770FCFF99E2F1B</t>
  </si>
  <si>
    <t>JChemExcelIQAAAB+LCAAAAAAABADtvQdgHEmWJSYvbcp7f0r1StfgdKEIgGATJNiQQBDswYjN5pLsHWlHIymrKoHKZVZlXWYWQMztnbz33nvvvffee++997o7nU4n99//P1xmZAFs9s5K2smeIYCqyB8/fnwfPyJeTHeX0+nWk/rOdLo73VtO79FfJ+WdKf32veW3v7/3/wADngwaIQAAAA==</t>
  </si>
  <si>
    <t>979341DAF8C85C4687DC22884774949C</t>
  </si>
  <si>
    <t>JChemExcelMAAAAB+LCAAAAAAABADtvQdgHEmWJSYvbcp7f0r1StfgdKEIgGATJNiQQBDswYjN5pLsHWlHIymrKoHKZVZlXWYWQMztnbz33nvvvffee++997o7nU4n99//P1xmZAFs9s5K2smeIYCqyB8/fnwfPyJOTrY++/LOi+nudDrdesF/TPfo1+8tv/395d6d6T36/aS8Q9/eo2+mu/8PoY14pDAAAAA=</t>
  </si>
  <si>
    <t>1684EA92234BAF0D9A87517D42B408C5</t>
  </si>
  <si>
    <t>JChemExcelPAAAAB+LCAAAAAAABADtvQdgHEmWJSYvbcp7f0r1StfgdKEIgGATJNiQQBDswYjN5pLsHWlHIymrKoHKZVZlXWYWQMztnbz33nvvvffee++997o7nU4n99//P1xmZAFs9s5K2smeIYCqyB8/fnwfPyJOTrZO7kx3l9Pp1nRvOqWfe3emW8vdO987+T1/z29//97JifyydfLiZOuzL+9M96dotX/n5OTe/wPXQSCLPAAAAA==</t>
  </si>
  <si>
    <t>0E2F056EDA479FAE8841DE5B7E2BCCCE</t>
  </si>
  <si>
    <t>JChemExcelPwAAAB+LCAAAAAAABADtvQdgHEmWJSYvbcp7f0r1StfgdKEIgGATJNiQQBDswYjN5pLsHWlHIymrKoHKZVZlXWYWQMztnbz33nvvvffee++997o7nU4n99//P1xmZAFs9s5K2smeIYCqyB8/fnwfPyJOXuyenLzYOjnZvfN667Mv7+D/073pdLo1ne7dmd6j3/anWy+m9+mXT5fL7y2//f3pp9P7d6bTJX1x7/8Bt3W9Cz8AAAA=</t>
  </si>
  <si>
    <t>D902CDFEAE70BDE4D97FFF7C2125FC8D</t>
  </si>
  <si>
    <t>JChemExcelMQAAAB+LCAAAAAAABADtvQdgHEmWJSYvbcp7f0r1StfgdKEIgGATJNiQQBDswYjN5pLsHWlHIymrKoHKZVZlXWYWQMztnbz33nvvvffee++997o7nU4n99//P1xmZAFs9s5K2smeIYCqyB8/fnwfPyJOTrZO7tD/prvT6XTrxfdOfs/f89vf3zuhh36l316cbH325Z3pvYq+vndnOt39fwBR7oFsMQAAAA==</t>
  </si>
  <si>
    <t>210656EF77420D0AE5958C74BCFB60D9</t>
  </si>
  <si>
    <t>JChemExcelIgAAAB+LCAAAAAAABADtvQdgHEmWJSYvbcp7f0r1StfgdKEIgGATJNiQQBDswYjN5pLsHWlHIymrKoHKZVZlXWYWQMztnbz33nvvvffee++997o7nU4n99//P1xmZAFs9s5K2smeIYCqyB8/fnwfPyJOvpzuTqfTrel0986LrZOT6d4Uf57cWe7dOdn67Ms7J/8PDCdOASIAAAA=</t>
  </si>
  <si>
    <t>F754BF4267D8D7CF453FB0C4DC159C46</t>
  </si>
  <si>
    <t>JChemExcelLgAAAB+LCAAAAAAABADtvQdgHEmWJSYvbcp7f0r1StfgdKEIgGATJNiQQBDswYjN5pLsHWlHIymrKoHKZVZlXWYWQMztnbz33nvvvffee++997o7nU4n99//P1xmZAFs9s5K2smeIYCqyB8/fnwfPyJOTrY++/LOi62TE/o/fp3uTqfTrWd3ptPdO9O9KZ69O9N7/Mu9/wcrYasbLgAAAA==</t>
  </si>
  <si>
    <t>2E3AD27134E128B62F76F892A68215B3</t>
  </si>
  <si>
    <t>JChemExcelXAAAAB+LCAAAAAAABADtvQdgHEmWJSYvbcp7f0r1StfgdKEIgGATJNiQQBDswYjN5pLsHWlHIymrKoHKZVZlXWYWQMztnbz33nvvvffee++997o7nU4n99//P1xmZAFs9s5K2smeIYCqyB8/fnwfPyJOvnfye/6e3/7+Lv349vf3+N+tL+/wz3vy14utkzv039ZnJ1v0z5d3XtzhH3jv+/eoLb7Z44+m+1P6e0rP7v6dL+98+f8AiW4CSlwAAAA=</t>
  </si>
  <si>
    <t>1BAB08DC3C641F2F17FF20D812DFECD0</t>
  </si>
  <si>
    <t>JChemExceleQAAAB+LCAAAAAAABADtvQdgHEmWJSYvbcp7f0r1StfgdKEIgGATJNiQQBDswYjN5pLsHWlHIymrKoHKZVZlXWYWQMztnbz33nvvvffee++997o7nU4n99//P1xmZAFs9s5K2smeIYCqyB8/fnwfPyJenJycbH1552Trsy/vvPjeye/5e377+7sn9PPb3996cUf+3vryZO9L+ejEfXZHPtGfe+7vk90vT+6Z9l9227+Qn/e+/H8AEddFXnkAAAA=</t>
  </si>
  <si>
    <t>F2531CDF7CD0D483CB0F8AC2E3D48706</t>
  </si>
  <si>
    <t>JChemExcelLwAAAB+LCAAAAAAABADtvQdgHEmWJSYvbcp7f0r1StfgdKEIgGATJNiQQBDswYjN5pLsHWlHIymrKoHKZVZlXWYWQMztnbz33nvvvffee++997o7nU4n99//P1xmZAFs9s5K2smeIYCqyB8/fnwfPyJOTrY++/LOi5Pvnfyev+e3v7978mKLP/hy9850bzqdbr24d3Ly5cnJvTvTrWd3pnv/D0KpPK0vAAAA</t>
  </si>
  <si>
    <t>07A1595B8B5B880D538F4872E475AB6C</t>
  </si>
  <si>
    <t>JChemExcelpgAAAB+LCAAAAAAABADtvQdgHEmWJSYvbcp7f0r1StfgdKEIgGATJNiQQBDswYjN5pLsHWlHIymrKoHKZVZlXWYWQMztnbz33nvvvffee++997o7nU4n99//P1xmZAFs9s5K2smeIYCqyB8/fnwfPyJOvvzeye/57e/v/r4nn538vvj99/z+3tbJnS9P7n12snWy99mXd0726bcv7/y+J1ufndx98eL+yckLanBycp8/eoF/zLeAweCogfz8Ej/tB/1P8AEDMN/vnhAsAbePf+4RLne+/H8AHgvmA6YAAAA=</t>
  </si>
  <si>
    <t>C075A537866411EF602B61CD499D7C5E</t>
  </si>
  <si>
    <t>JChemExcelSQAAAB+LCAAAAAAABADtvQdgHEmWJSYvbcp7f0r1StfgdKEIgGATJNiQQBDswYjN5pLsHWlHIymrKoHKZVZlXWYWQMztnbz33nvvvffee++997o7nU4n99//P1xmZAFs9s5K2smeIYCqyB8/fnwfPyJOXpzsnmx9eUf+f/LlnS9Pdr882aM/T+65z1+cbH324s4L+eue+etLeuHOyR4+++zL/weeJYxSSQAAAA==</t>
  </si>
  <si>
    <t>207210A590238269A207F906C5412BCD</t>
  </si>
  <si>
    <t>JChemExcelzAAAAB+LCAAAAAAABADtvQdgHEmWJSYvbcp7f0r1StfgdKEIgGATJNiQQBDswYjN5pLsHWlHIymrKoHKZVZlXWYWQMztnbz33nvvvffee++997o7nU4n99//P1xmZAFs9s5K2smeIYCqyB8/fnwfPyJOvnfye/6e3/7+7pcnW599eQd/ffv7W/4v2oB+7X9Hv3x/z/9Efsq/9kX5ee9L/fiO+Vxbv9AP7n155/c9+exk8P/x13dP7ny5d4eR//L/ARAfJ1HMAAAA</t>
  </si>
  <si>
    <t>89EFFD2067FA6A166F173DED813E735F</t>
  </si>
  <si>
    <t>JChemExcelOgAAAB+LCAAAAAAABADtvQdgHEmWJSYvbcp7f0r1StfgdKEIgGATJNiQQBDswYjN5pLsHWlHIymrKoHKZVZlXWYWQMztnbz33nvvvffee++997o7nU4n99//P1xmZAFs9s5K2smeIYCqyB8/fnwfPyKeTXen0+nWdLp7Z3u6+73lt7/Pf2zj4yU+Pdk9OXmxdXJCv2199uWdL0/4hel09/8BlkUFIToAAAA=</t>
  </si>
  <si>
    <t>E823A2C213C5CA0AA7CC533AA59B5F72</t>
  </si>
  <si>
    <t>JChemExcelIwAAAB+LCAAAAAAABADtvQdgHEmWJSYvbcp7f0r1StfgdKEIgGATJNiQQBDswYjN5pLsHWlHIymrKoHKZVZlXWYWQMztnbz33nvvvffee++997o7nU4n99//P1xmZAFs9s5K2smeIYCqyB8/fnwfPyJOTrZO7tD/lrvL6db2dG+KZ+8O/bL14s5yupzu7v0/fFWLtCMAAAA=</t>
  </si>
  <si>
    <t>C5FC8E4725BACCE10409225F0BEEED18</t>
  </si>
  <si>
    <t>JChemExcelLgAAAB+LCAAAAAAABADtvQdgHEmWJSYvbcp7f0r1StfgdKEIgGATJNiQQBDswYjN5pLsHWlHIymrKoHKZVZlXWYWQMztnbz33nvvvffee++997o7nU4n99//P1xmZAFs9s5K2smeIYCqyB8/fnwfPyJOXuyenJxsnZzs3pnuTqdb063vLb/9/d072/hruvXsznSqfyyn093/B8KK8oouAAAA</t>
  </si>
  <si>
    <t>B2429BDEAFFEBAEE65902DE3C83FEDCB</t>
  </si>
  <si>
    <t>JChemExcelKgAAAB+LCAAAAAAABADtvQdgHEmWJSYvbcp7f0r1StfgdKEIgGATJNiQQBDswYjN5pLsHWlHIymrKoHKZVZlXWYWQMztnbz33nvvvffee++997o7nU4n99//P1xmZAFs9s5K2smeIYCqyB8/fnwfPyJOTrZO7tD/lrvL6dbJdG86nW49u0O/lneme/S/6daLO8vpcrq79/8AaaRLcioAAAA=</t>
  </si>
  <si>
    <t>A9C2D605D874EB477905C1421AF2E8C3</t>
  </si>
  <si>
    <t>JChemExcelJwAAAB+LCAAAAAAABADtvQdgHEmWJSYvbcp7f0r1StfgdKEIgGATJNiQQBDswYjN5pLsHWlHIymrKoHKZVZlXWYWQMztnbz33nvvvffee++997o7nU4n99//P1xmZAFs9s5K2smeIYCqyB8/fnwfPyJOprvT6daLk63Pvrwz3ZvS719O7+HHSXlnOr335Z1q786y2v1/AO/xpJ8nAAAA</t>
  </si>
  <si>
    <t>701A2642D4E7AFADEFF237AA983787AB</t>
  </si>
  <si>
    <t>JChemExcelHwAAAB+LCAAAAAAABADtvQdgHEmWJSYvbcp7f0r1StfgdKEIgGATJNiQQBDswYjN5pLsHWlHIymrKoHKZVZlXWYWQMztnbz33nvvvffee++997o7nU4n99//P1xmZAFs9s5K2smeIYCqyB8/fnwfPyJOTrY++/LOi92Tk+nedHpvOd06uTPlf+5Np7t7/w/luO4BHwAAAA==</t>
  </si>
  <si>
    <t>69D51DFF5287A3FB69307C9F10203B96</t>
  </si>
  <si>
    <t>JChemExcelKAAAAB+LCAAAAAAABADtvQdgHEmWJSYvbcp7f0r1StfgdKEIgGATJNiQQBDswYjN5pLsHWlHIymrKoHKZVZlXWYWQMztnbz33nvvvffee++997o7nU4n99//P1xmZAFs9s5K2smeIYCqyB8/fnwfPyJOTr482frsyzsv+N/p7nTaTHf1j73l9N4Uz71m7/8BBVO8mygAAAA=</t>
  </si>
  <si>
    <t>C547D2A1BA8B6C317CFAC8D039EE3EAD</t>
  </si>
  <si>
    <t>JChemExcelLQAAAB+LCAAAAAAABADtvQdgHEmWJSYvbcp7f0r1StfgdKEIgGATJNiQQBDswYjN5pLsHWlHIymrKoHKZVZlXWYWQMztnbz33nvvvffee++997o7nU4n99//P1xmZAFs9s5K2smeIYCqyB8/fnwfPyJOTk62Tu68ONn67Ms7093pdLolv5/sbdFXJ3t3pvemeO7dmU53/x9IKkJNLQAAAA==</t>
  </si>
  <si>
    <t>91B08C69F596700271680A2A6FC44F43</t>
  </si>
  <si>
    <t>JChemExcelHgAAAB+LCAAAAAAABADtvQdgHEmWJSYvbcp7f0r1StfgdKEIgGATJNiQQBDswYjN5pLsHWlHIymrKoHKZVZlXWYWQMztnbz33nvvvffee++997o7nU4n99//P1xmZAFs9s5K2smeIYCqyB8/fnwfPyKe1NPd6dZyurecTqfL3b0703v0y/6XJ19O96f3/h/5mYp2HgAAAA==</t>
  </si>
  <si>
    <t>AF19D5D49C83EF503F6A7187E782091B</t>
  </si>
  <si>
    <t>JChemExcelHwAAAB+LCAAAAAAABADtvQdgHEmWJSYvbcp7f0r1StfgdKEIgGATJNiQQBDswYjN5pLsHWlHIymrKoHKZVZlXWYWQMztnbz33nvvvffee++997o7nU4n99//P1xmZAFs9s5K2smeIYCqyB8/fnwfPyJOvpzuTunZ+vLkZOuzL+9M9/DHk/rOdLp3Z7r7/wDr69WaHwAAAA==</t>
  </si>
  <si>
    <t>B32210978782B9F7AFC458B76A300814</t>
  </si>
  <si>
    <t>JChemExcelIgAAAB+LCAAAAAAABADtvQdgHEmWJSYvbcp7f0r1StfgdKEIgGATJNiQQBDswYjN5pLsHWlHIymrKoHKZVZlXWYWQMztnbz33nvvvffee++997o7nU4n99//P1xmZAFs9s5K2smeIYCqyB8/fnwfPyKeTXeneHane9V068XJyfQe/33vznRruXfn5Mdf/D+6hSr5IgAAAA==</t>
  </si>
  <si>
    <t>A83FAD97D048A7C8B0E8ADC5489E10E7</t>
  </si>
  <si>
    <t>JChemExcelKAAAAB+LCAAAAAAABADtvQdgHEmWJSYvbcp7f0r1StfgdKEIgGATJNiQQBDswYjN5pLsHWlHIymrKoHKZVZlXWYWQMztnbz33nvvvffee++997o7nU4n99//P1xmZAFs9s5K2smeIYCqyB8/fnwfPyJOprtTerZOlnv48eJk67Mv70zv0e/7X558Od2f3ruz3Lsz3f1/AHL5n18oAAAA</t>
  </si>
  <si>
    <t>8D6D11C763DD1FBBBD60D58FD1B1AFA6</t>
  </si>
  <si>
    <t>JChemExcelKAAAAB+LCAAAAAAABADtvQdgHEmWJSYvbcp7f0r1StfgdKEIgGATJNiQQBDswYjN5pLsHWlHIymrKoHKZVZlXWYWQMztnbz33nvvvffee++997o7nU4n99//P1xmZAFs9s5K2smeIYCqyB8/fnwfPyK+PNn97GTrZOuzL++8mO5Np9PldO+O/Hnv5GS6T59Md6f39v8f91V9oSgAAAA=</t>
  </si>
  <si>
    <t>B5F1295A386DA12FD833063D95EA0957</t>
  </si>
  <si>
    <t>JChemExcelHQAAAB+LCAAAAAAABADtvQdgHEmWJSYvbcp7f0r1StfgdKEIgGATJNiQQBDswYjN5pLsHWlHIymrKoHKZVZlXWYWQMztnbz33nvvvffee++997o7nU4n99//P1xmZAFs9s5K2smeIYCqyB8/fnwfPyJOTk6Wu9OtkxfTvSmevS/vLKf3+Nfde/8Pp4dYSh0AAAA=</t>
  </si>
  <si>
    <t>FE9D47FE66302A20B58D719050A9C572</t>
  </si>
  <si>
    <t>JChemExcelIwAAAB+LCAAAAAAABADtvQdgHEmWJSYvbcp7f0r1StfgdKEIgGATJNiQQBDswYjN5pLsHWlHIymrKoHKZVZlXWYWQMztnbz33nvvvffee++997o7nU4n99//P1xmZAFs9s5K2smeIYCqyB8/fnwfPyJOTqa7y+neFM/ecvfkZOvLOydfTu9Np1snd+izeyfl/wN/timIIwAAAA==</t>
  </si>
  <si>
    <t>3CE3CE06A08123C7A0FEAA1D79F9417F</t>
  </si>
  <si>
    <t>JChemExcelMgAAAB+LCAAAAAAABADtvQdgHEmWJSYvbcp7f0r1StfgdKEIgGATJNiQQBDswYjN5pLsHWlHIymrKoHKZVZlXWYWQMztnbz33nvvvffee++997o7nU4n99//P1xmZAFs9s5K2smeIYCqyB8/fnwfPyK+/Oxk62T35OTF1snJ7p3p3nI53Wr27izvTem5d+fF/skJNZjex5/T+3dOTvb/Hx8qHasyAAAA</t>
  </si>
  <si>
    <t>90B0ACBC5C7E9D9E96A0689092118D73</t>
  </si>
  <si>
    <t>JChemExcelKwAAAB+LCAAAAAAABADtvQdgHEmWJSYvbcp7f0r1StfgdKEIgGATJNiQQBDswYjN5pLsHWlHIymrKoHKZVZlXWYWQMztnbz33nvvvffee++997o7nU4n99//P1xmZAFs9s5K2smeIYCqyB8/fnwfPyJOprvT6XSvmm4tp3vT3TvTe9Pp1ouTrc++vHMy3Z/i2b9D/9w7Kf8fcUI7sisAAAA=</t>
  </si>
  <si>
    <t>626A7F1FA45EB8C33542A6A85BEBB0C2</t>
  </si>
  <si>
    <t>JChemExcelKgAAAB+LCAAAAAAABADtvQdgHEmWJSYvbcp7f0r1StfgdKEIgGATJNiQQBDswYjN5pLsHWlHIymrKoHKZVZlXWYWQMztnbz33nvvvffee++997o7nU4n99//P1xmZAFs9s5K2smeIYCqyB8/fnwfPyK+/Oxk68XuycmLrZPp3nQ6vfflyZfTe9O9Oycnu3em+9X0/hTP/en+/wOulqAwKgAAAA==</t>
  </si>
  <si>
    <t>09B25BD16A46248E4541D4E80E1C836A</t>
  </si>
  <si>
    <t>JChemExcelHwAAAB+LCAAAAAAABADtvQdgHEmWJSYvbcp7f0r1StfgdKEIgGATJNiQQBDswYjN5pLsHWlHIymrKoHKZVZlXWYWQMztnbz33nvvvffee++997o7nU4n99//P1xmZAFs9s5K2smeIYCqyB8/fnwfPyJOprvL5XTrxcl0b0rP1kl5Z7p3Z3oPf0x37/0/5LEy0x8AAAA=</t>
  </si>
  <si>
    <t>0748339B792E25A06B14FC5D56B2E0DA</t>
  </si>
  <si>
    <t>JChemExcelHgAAAB+LCAAAAAAABADtvQdgHEmWJSYvbcp7f0r1StfgdKEIgGATJNiQQBDswYjN5pLsHWlHIymrKoHKZVZlXWYWQMztnbz33nvvvffee++997o7nU4n99//P1xmZAFs9s5K2smeIYCqyB8/fnwfPyJO6Hm99dmXd/D/F9Pd6XS6N10ut07u0M/d/weu50qcHgAAAA==</t>
  </si>
  <si>
    <t>29C1C31A85FC5CC7ECFEFA600F861573</t>
  </si>
  <si>
    <t>JChemExcelJwAAAB+LCAAAAAAABADtvQdgHEmWJSYvbcp7f0r1StfgdKEIgGATJNiQQBDswYjN5pLsHWlHIymrKoHKZVZlXWYWQMztnbz33nvvvffee++997o7nU4n99//P1xmZAFs9s5K2smeIYCqyB8/fnwfPyJOvpzuTqfTrZPl3nQ5vTfdWtLv5Z3ldO/enel+RV/t35lOd/8fUP9erycAAAA=</t>
  </si>
  <si>
    <t>2EF5FEDCAA1001EB5AB2451229A83748</t>
  </si>
  <si>
    <t>JChemExcelQgAAAB+LCAAAAAAABADtvQdgHEmWJSYvbcp7f0r1StfgdKEIgGATJNiQQBDswYjN5pLsHWlHIymrKoHKZVZlXWYWQMztnbz33nvvvffee++997o7nU4n99//P1xmZAFs9s5K2smeIYCqyB8/fnwfPyJOTqa70+l0azrdvfO9k9/z9/z29/dO5OfW8t6SvjjZ+uzLOy9Opvto9eXJnel0/8703ou9Oydbz+7Q/579P19ojOBCAAAA</t>
  </si>
  <si>
    <t>59C5B22C31135F4349C599A7BE6CD092</t>
  </si>
  <si>
    <t>JChemExcelJwAAAB+LCAAAAAAABADtvQdgHEmWJSYvbcp7f0r1StfgdKEIgGATJNiQQBDswYjN5pLsHWlHIymrKoHKZVZlXWYWQMztnbz33nvvvffee++997o7nU4n99//P1xmZAFs9s5K2smeIYCqyB8/fnwfPyJOvpzuTqfTveV06+TOdLr15cnJ1mdf3nkxvTfFc+9L+nRvuvv/ANEA9UYnAAAA</t>
  </si>
  <si>
    <t>726159A5D44BC3AB0CF6E6CDA17CE744</t>
  </si>
  <si>
    <t>JChemExcelKgAAAB+LCAAAAAAABADtvQdgHEmWJSYvbcp7f0r1StfgdKEIgGATJNiQQBDswYjN5pLsHWlHIymrKoHKZVZlXWYWQMztnbz33nvvvffee++997o7nU4n99//P1xmZAFs9s5K2smeIYCqyB8/fnwfPyJOTrZO7mydbH325Z0X093pdLr17M50untnuUe/Tpd7d6b3pnjuPft/AAW0W60qAAAA</t>
  </si>
  <si>
    <t>811F19F2A9E3B3945D8F84656E8E866F</t>
  </si>
  <si>
    <t>JChemExcelRwAAAB+LCAAAAAAABADtvQdgHEmWJSYvbcp7f0r1StfgdKEIgGATJNiQQBDswYjN5pLsHWlHIymrKoHKZVZlXWYWQMztnbz33nvvvffee++997o7nU4n99//P1xmZAFs9s5K2smeIYCqyB8/fnwfPyJeTHeX0+V0j3/sfe/k9/w9v/39e1/Sz29/f+vky9dbn315B/9/cYJ/p/tTPPtf3pGGW/wLXvh/ABW93PNHAAAA</t>
  </si>
  <si>
    <t>BDAD0DB833B6E33789B8FA5E5D3D0092</t>
  </si>
  <si>
    <t>JChemExcelJgAAAB+LCAAAAAAABADtvQdgHEmWJSYvbcp7f0r1StfgdKEIgGATJNiQQBDswYjN5pLsHWlHIymrKoHKZVZlXWYWQMztnbz33nvvvffee++997o7nU4n99//P1xmZAFs9s5K2smeIYCqyB8/fnwfPyJOprvT6daXJydbn31558XJdG+KZ+/O9B59/KS+Q3/cW+7+P4SbOgwmAAAA</t>
  </si>
  <si>
    <t>AAEE8D6A21A67C1008D0F6D58D10F5E4</t>
  </si>
  <si>
    <t>JChemExcelNgAAAB+LCAAAAAAABADtvQdgHEmWJSYvbcp7f0r1StfgdKEIgGATJNiQQBDswYjN5pLsHWlHIymrKoHKZVZlXWYWQMztnbz33nvvvffee++997o7nU4n99//P1xmZAFs9s5K2smeIYCqyB8/fnwfPyJOtr538nv+nt/+/u7Ji62Tkxe7d6Z7y+l0uvXl9B5+TKf37iz3p9PldP/Ocu/O9P4Uz/3/B4BPDe42AAAA</t>
  </si>
  <si>
    <t>6BDA424777221D85B69DAADEB374B92A</t>
  </si>
  <si>
    <t>JChemExcelQgAAAB+LCAAAAAAABADtvQdgHEmWJSYvbcp7f0r1StfgdKEIgGATJNiQQBDswYjN5pLsHWlHIymrKoHKZVZlXWYWQMztnbz33nvvvffee++997o7nU4n99//P1xmZAFs9s5K2smeIYCqyB8/fnwfPyJOTna3Tr6c7k2n063pdO/Oi3snJydbJyf37nw53ceHX55sPbtD/3t2Zzrdv3OyvE+fLaf3v9y982Lrsy/vfPbl/wNvwbxiQgAAAA==</t>
  </si>
  <si>
    <t>511F92602E116ACC3C6826A0055D20DF</t>
  </si>
  <si>
    <t>JChemExcelOQAAAB+LCAAAAAAABADtvQdgHEmWJSYvbcp7f0r1StfgdKEIgGATJNiQQBDswYjN5pLsHWlHIymrKoHKZVZlXWYWQMztnbz33nvvvffee++997o7nU4n99//P1xmZAFs9s5K2smeIYCqyB8/fnwfPyJOTrY++/LOi5OT3ZMXW/z7l7t3pnvT6XRruvWMfrszvYc/Tl6cTPeny+8tv/395f6d6fTe/wPePzbzOQAAAA==</t>
  </si>
  <si>
    <t>E2A21B38010ECB1AC2374E46761E7970</t>
  </si>
  <si>
    <t>JChemExcelNQAAAB+LCAAAAAAABADtvQdgHEmWJSYvbcp7f0r1StfgdKEIgGATJNiQQBDswYjN5pLsHWlHIymrKoHKZVZlXWYWQMztnbz33nvvvffee++997o7nU4n99//P1xmZAFs9s5K2smeIYCqyB8/fnwfPyJOlrvT6XK6e/Li5OT11mdf3sH/p3tTerZeTO/hx3R57850nz95Rr/cme79P+vxfsQ1AAAA</t>
  </si>
  <si>
    <t>284BBFF02C256CE213C53FB986D635DE</t>
  </si>
  <si>
    <t>JChemExcelLgAAAB+LCAAAAAAABADtvQdgHEmWJSYvbcp7f0r1StfgdKEIgGATJNiQQBDswYjN5pLsHWlHIymrKoHKZVZlXWYWQMztnbz33nvvvffee++997o7nU4n99//P1xmZAFs9s5K2smeIYCqyB8/fnwfPyJOTrY++/LOi5OT3ZMXW/z7l7t3pnvT6XRruvWMfrszvYc/Tr68M53e+38ANpOlxy4AAAA=</t>
  </si>
  <si>
    <t>489E0FC2ED4467595668DA0DCB193291</t>
  </si>
  <si>
    <t>JChemExcelIQAAAB+LCAAAAAAABADtvQdgHEmWJSYvbcp7f0r1StfgdKEIgGATJNiQQBDswYjN5pLsHWlHIymrKoHKZVZlXWYWQMztnbz33nvvvffee++997o7nU4n99//P1xmZAFs9s5K2smeIYCqyB8/fnwfPyJOXkx3m+V06+TOdPdk67Mv77w4OflyujedTre+pM+me/8PRrMZAyEAAAA=</t>
  </si>
  <si>
    <t>43C72D4267046C135053358D442DF5FF</t>
  </si>
  <si>
    <t>JChemExcelLgAAAB+LCAAAAAAABADtvQdgHEmWJSYvbcp7f0r1StfgdKEIgGATJNiQQBDswYjN5pLsHWlHIymrKoHKZVZlXWYWQMztnbz33nvvvffee++997o7nU4n99//P1xmZAFs9s5K2smeIYCqyB8/fnwfPyJOTrY++/LOi5Pvnfye3/7+7smLLf77y907073pdLr14t7JyeuTk3t3plvP7kz3/h8UQ/fZLgAAAA==</t>
  </si>
  <si>
    <t>107420BE223F9EBB3AFC9F6C31E49023</t>
  </si>
  <si>
    <t>JChemExcelNAAAAB+LCAAAAAAABADtvQdgHEmWJSYvbcp7f0r1StfgdKEIgGATJNiQQBDswYjN5pLsHWlHIymrKoHKZVZlXWYWQMztnbz33nvvvffee++997o7nU4n99//P1xmZAFs9s5K2smeIYCqyB8/fnwfPyK+/Oxk68V0d4pn98XeycmXJyd7d7538nv+nt/+/tbJ9B5/ce/Oi5Otz768M92nP5r9/wfpJR09NAAAAA==</t>
  </si>
  <si>
    <t>BE73317C31EECC73546F817618CA70E4</t>
  </si>
  <si>
    <t>JChemExcelMwAAAB+LCAAAAAAABADtvQdgHEmWJSYvbcp7f0r1StfgdKEIgGATJNiQQBDswYjN5pLsHWlHIymrKoHKZVZlXWYWQMztnbz33nvvvffee++997o7nU4n99//P1xmZAFs9s5K2smeIYCqyB8/fnwfPyJOvpzuTqdbT+o70+neyWcnWydbn31558X03pSerem9Oydbz+7Q/57d4S+o9d7/A+AyoAUzAAAA</t>
  </si>
  <si>
    <t>0CF5D94906349A94F0C274FA29968CE3</t>
  </si>
  <si>
    <t>JChemExcelLAAAAB+LCAAAAAAABADtvQdgHEmWJSYvbcp7f0r1StfgdKEIgGATJNiQQBDswYjN5pLsHWlHIymrKoHKZVZlXWYWQMztnbz33nvvvffee++997o7nU4n99//P1xmZAFs9s5K2smeIYCqyB8/fnwfPyKenWw9u0P/O9n97GTrZOvF3gmevTuffXnnxdbJZyf0v3tfntw5uffZi93/BxxPjZcsAAAA</t>
  </si>
  <si>
    <t>11DBA37177E675CED1CE4804D81CA538</t>
  </si>
  <si>
    <t>JChemExcelMQAAAB+LCAAAAAAABADtvQdgHEmWJSYvbcp7f0r1StfgdKEIgGATJNiQQBDswYjN5pLsHWlHIymrKoHKZVZlXWYWQMztnbz33nvvvffee++997o7nU4n99//P1xmZAFs9s5K2smeIYCqyB8/fnwfPyJOTqa7y+nedDrdmi73prsvtk7unEzv0d/NvTsnW599eefFyXSf/rz/5cmX0/vT/f8HDwgKsTEAAAA=</t>
  </si>
  <si>
    <t>Disease set</t>
  </si>
  <si>
    <t>Trivial name</t>
  </si>
  <si>
    <t xml:space="preserve">Rules applied </t>
  </si>
  <si>
    <t xml:space="preserve">S ≥ 0.75 </t>
  </si>
  <si>
    <t>F ≤ 0.75</t>
  </si>
  <si>
    <t>F</t>
  </si>
  <si>
    <t>U+S+F</t>
  </si>
  <si>
    <t>S+F</t>
  </si>
  <si>
    <t>U+F</t>
  </si>
  <si>
    <r>
      <rPr>
        <b/>
        <vertAlign val="superscript"/>
        <sz val="11"/>
        <color indexed="8"/>
        <rFont val="Arial"/>
        <family val="2"/>
      </rPr>
      <t>a</t>
    </r>
    <r>
      <rPr>
        <b/>
        <sz val="11"/>
        <color indexed="8"/>
        <rFont val="Arial"/>
        <family val="2"/>
      </rPr>
      <t xml:space="preserve"> Assays  performed by the Keiser lab at the Swiss Tropical and Public Health Institute</t>
    </r>
  </si>
  <si>
    <r>
      <rPr>
        <b/>
        <vertAlign val="superscript"/>
        <sz val="11"/>
        <rFont val="Arial"/>
        <family val="2"/>
      </rPr>
      <t xml:space="preserve">d </t>
    </r>
    <r>
      <rPr>
        <b/>
        <sz val="11"/>
        <rFont val="Arial"/>
        <family val="2"/>
      </rPr>
      <t>Assays  performed by the University of Cape Town</t>
    </r>
  </si>
  <si>
    <r>
      <rPr>
        <b/>
        <vertAlign val="superscript"/>
        <sz val="11"/>
        <color indexed="8"/>
        <rFont val="Arial"/>
        <family val="2"/>
      </rPr>
      <t>e</t>
    </r>
    <r>
      <rPr>
        <b/>
        <sz val="11"/>
        <color indexed="8"/>
        <rFont val="Arial"/>
        <family val="2"/>
      </rPr>
      <t xml:space="preserve"> Assay  performed by Abbvie</t>
    </r>
  </si>
  <si>
    <t>Swiss TPH  scores</t>
  </si>
  <si>
    <t>Strong hits</t>
  </si>
  <si>
    <t>SOMULE DESCRIPTORS (10 uM)</t>
  </si>
  <si>
    <t>SOMULE SEVERITY SCORE</t>
  </si>
  <si>
    <t>PLATE</t>
  </si>
  <si>
    <t>WELL</t>
  </si>
  <si>
    <t>24 h</t>
  </si>
  <si>
    <t>48 h</t>
  </si>
  <si>
    <t>P1</t>
  </si>
  <si>
    <t>A2</t>
  </si>
  <si>
    <t>B2</t>
  </si>
  <si>
    <t>C2</t>
  </si>
  <si>
    <t>D2</t>
  </si>
  <si>
    <t>E2</t>
  </si>
  <si>
    <t>R, S</t>
  </si>
  <si>
    <t>R</t>
  </si>
  <si>
    <t>F2</t>
  </si>
  <si>
    <t>G2</t>
  </si>
  <si>
    <t>H2</t>
  </si>
  <si>
    <t>A3</t>
  </si>
  <si>
    <t>R, Dark</t>
  </si>
  <si>
    <t>R, dark</t>
  </si>
  <si>
    <t>B3</t>
  </si>
  <si>
    <t>C3</t>
  </si>
  <si>
    <t>O</t>
  </si>
  <si>
    <t>D3</t>
  </si>
  <si>
    <t>E3</t>
  </si>
  <si>
    <t>F3</t>
  </si>
  <si>
    <t>Descriptior Key</t>
  </si>
  <si>
    <t>G3</t>
  </si>
  <si>
    <t>H3</t>
  </si>
  <si>
    <t>O = overactive</t>
  </si>
  <si>
    <t>A4</t>
  </si>
  <si>
    <t>S = Slow</t>
  </si>
  <si>
    <t>B4</t>
  </si>
  <si>
    <t>Deg= degenerating</t>
  </si>
  <si>
    <t>C4</t>
  </si>
  <si>
    <t>Dark = dark</t>
  </si>
  <si>
    <t>D4</t>
  </si>
  <si>
    <t>R, Deg</t>
  </si>
  <si>
    <t>D</t>
  </si>
  <si>
    <t>I = immobilized</t>
  </si>
  <si>
    <t>E4</t>
  </si>
  <si>
    <t xml:space="preserve">R = shape altered from normal (either larger or smaller; longer or shorter) </t>
  </si>
  <si>
    <t>F4</t>
  </si>
  <si>
    <t>teg bleb = tegumental damage</t>
  </si>
  <si>
    <t>G4</t>
  </si>
  <si>
    <t>H4</t>
  </si>
  <si>
    <t>A5</t>
  </si>
  <si>
    <t>B5</t>
  </si>
  <si>
    <t>C5</t>
  </si>
  <si>
    <t>D5</t>
  </si>
  <si>
    <t>Maximum score is 4</t>
  </si>
  <si>
    <t>E5</t>
  </si>
  <si>
    <t>F5</t>
  </si>
  <si>
    <t>G5</t>
  </si>
  <si>
    <t>H5</t>
  </si>
  <si>
    <t>A6</t>
  </si>
  <si>
    <t>B6</t>
  </si>
  <si>
    <t>O, Dark</t>
  </si>
  <si>
    <t>C6</t>
  </si>
  <si>
    <t>R, O</t>
  </si>
  <si>
    <t>Dark</t>
  </si>
  <si>
    <t>D6</t>
  </si>
  <si>
    <t>E6</t>
  </si>
  <si>
    <t>F6</t>
  </si>
  <si>
    <t>G6</t>
  </si>
  <si>
    <t>H6</t>
  </si>
  <si>
    <t>A7</t>
  </si>
  <si>
    <t>B7</t>
  </si>
  <si>
    <t>C7</t>
  </si>
  <si>
    <t>D7</t>
  </si>
  <si>
    <t>E7</t>
  </si>
  <si>
    <t>F7</t>
  </si>
  <si>
    <t>G7</t>
  </si>
  <si>
    <t>H7</t>
  </si>
  <si>
    <t>A8</t>
  </si>
  <si>
    <t>B8</t>
  </si>
  <si>
    <t>C8</t>
  </si>
  <si>
    <t>D8</t>
  </si>
  <si>
    <t>E8</t>
  </si>
  <si>
    <t>F8</t>
  </si>
  <si>
    <t>G8</t>
  </si>
  <si>
    <t>H8</t>
  </si>
  <si>
    <t>A9</t>
  </si>
  <si>
    <t>Deg, O</t>
  </si>
  <si>
    <t>B9</t>
  </si>
  <si>
    <t>R, Dark, S</t>
  </si>
  <si>
    <t>C9</t>
  </si>
  <si>
    <t>D9</t>
  </si>
  <si>
    <t>E9</t>
  </si>
  <si>
    <t>dark</t>
  </si>
  <si>
    <t>F9</t>
  </si>
  <si>
    <t>P.D. 50</t>
  </si>
  <si>
    <t>G9</t>
  </si>
  <si>
    <t>H9</t>
  </si>
  <si>
    <t>Deg</t>
  </si>
  <si>
    <t>S, Deg</t>
  </si>
  <si>
    <t>R, S, Dark</t>
  </si>
  <si>
    <t>R,S</t>
  </si>
  <si>
    <t>R,O+</t>
  </si>
  <si>
    <t>Deg, R, O</t>
  </si>
  <si>
    <t>P2</t>
  </si>
  <si>
    <t>R, O, Dark</t>
  </si>
  <si>
    <t>R, Deg, S</t>
  </si>
  <si>
    <t>R, O, P.D. 50</t>
  </si>
  <si>
    <t>R, O, Deg</t>
  </si>
  <si>
    <t>P.D. 70</t>
  </si>
  <si>
    <t>R, dark, I</t>
  </si>
  <si>
    <t>Deg, R</t>
  </si>
  <si>
    <t>P3</t>
  </si>
  <si>
    <t>R, S, deg</t>
  </si>
  <si>
    <t>O, Deg</t>
  </si>
  <si>
    <t>R, S, Deg</t>
  </si>
  <si>
    <t>Deg, S</t>
  </si>
  <si>
    <t>P4</t>
  </si>
  <si>
    <t>Dark, R, S</t>
  </si>
  <si>
    <t>R, Deg, O</t>
  </si>
  <si>
    <t>R. Deg</t>
  </si>
  <si>
    <t>P5</t>
  </si>
  <si>
    <t>R, dark, S</t>
  </si>
  <si>
    <t>R, deg</t>
  </si>
  <si>
    <t>R, deg, S</t>
  </si>
  <si>
    <t>REFERENCE</t>
  </si>
  <si>
    <t>max</t>
  </si>
  <si>
    <t>median</t>
  </si>
  <si>
    <t>min</t>
  </si>
  <si>
    <t>Pearson correlation</t>
  </si>
  <si>
    <t>F distribution</t>
  </si>
  <si>
    <t>Linear regression U+S</t>
  </si>
  <si>
    <t>Slope</t>
  </si>
  <si>
    <t xml:space="preserve">± </t>
  </si>
  <si>
    <t>r2</t>
  </si>
  <si>
    <t>regression ss</t>
  </si>
  <si>
    <t>Intercept</t>
  </si>
  <si>
    <t>s(y)</t>
  </si>
  <si>
    <t>degrees of freedom</t>
  </si>
  <si>
    <t>residual ss</t>
  </si>
  <si>
    <t>F Distrib</t>
  </si>
  <si>
    <t>Linear regression U+F</t>
  </si>
  <si>
    <t>Linear regression S+F</t>
  </si>
  <si>
    <t>R,deg</t>
  </si>
  <si>
    <t xml:space="preserve"> 72 h</t>
  </si>
  <si>
    <t>SD</t>
  </si>
  <si>
    <t>mean</t>
  </si>
  <si>
    <t>FIOCRUZ (% viability @ 72 h)</t>
  </si>
  <si>
    <t>Swiss TPH 72 h</t>
  </si>
  <si>
    <t>UCSD 72 h</t>
  </si>
  <si>
    <t xml:space="preserve">Core actives in all assays at 72 h </t>
  </si>
  <si>
    <t>FIOCRUZ (% viability) 72 h</t>
  </si>
  <si>
    <t>1) Fiocruz data inversion</t>
  </si>
  <si>
    <t>ORIGINAL DATA</t>
  </si>
  <si>
    <t>2) Data transformation</t>
  </si>
  <si>
    <t>Unique FIOCRUZ actives at 72 h</t>
  </si>
  <si>
    <t>FIOCRUZ  data 72 h  (x̅)</t>
  </si>
  <si>
    <r>
      <t xml:space="preserve">Anti - </t>
    </r>
    <r>
      <rPr>
        <b/>
        <i/>
        <sz val="11"/>
        <color theme="1"/>
        <rFont val="Arial"/>
        <family val="2"/>
      </rPr>
      <t>Schistosoma mansoni activity data</t>
    </r>
    <r>
      <rPr>
        <b/>
        <i/>
        <vertAlign val="superscript"/>
        <sz val="11"/>
        <color theme="1"/>
        <rFont val="Arial"/>
        <family val="2"/>
      </rPr>
      <t>a</t>
    </r>
  </si>
  <si>
    <t>Compounds increasing metabolic activity over 130% of baseline in the FIOCRUZ assay at 72 h</t>
  </si>
  <si>
    <t>Compounds increasing metabolic activity above 130% of baseline in the FIOCRUZ assay at 72 h AND  a hit in at least one other assay at any time point</t>
  </si>
  <si>
    <t xml:space="preserve">S ≥ 0.5 </t>
  </si>
  <si>
    <t>F ≤ 50</t>
  </si>
  <si>
    <t>U ≥2</t>
  </si>
  <si>
    <t>U  ≥3</t>
  </si>
  <si>
    <t>4</t>
  </si>
  <si>
    <t>3</t>
  </si>
  <si>
    <t>61.7 ± 11.2</t>
  </si>
  <si>
    <t>62.2 ± 7.1</t>
  </si>
  <si>
    <t>75.5 ± 36.1</t>
  </si>
  <si>
    <t>117.5 ± 14.6</t>
  </si>
  <si>
    <t>86.0 ± 19.9</t>
  </si>
  <si>
    <r>
      <t xml:space="preserve">-8.0 </t>
    </r>
    <r>
      <rPr>
        <sz val="14"/>
        <color theme="1"/>
        <rFont val="Arial"/>
        <family val="2"/>
      </rPr>
      <t>± 2.5</t>
    </r>
  </si>
  <si>
    <r>
      <t xml:space="preserve">-5.8 </t>
    </r>
    <r>
      <rPr>
        <sz val="14"/>
        <color theme="1"/>
        <rFont val="Arial"/>
        <family val="2"/>
      </rPr>
      <t>± 4.9</t>
    </r>
  </si>
  <si>
    <r>
      <t xml:space="preserve">-3.4 </t>
    </r>
    <r>
      <rPr>
        <sz val="14"/>
        <color theme="1"/>
        <rFont val="Arial"/>
        <family val="2"/>
      </rPr>
      <t>± 3.7</t>
    </r>
  </si>
  <si>
    <r>
      <t xml:space="preserve">6.4 </t>
    </r>
    <r>
      <rPr>
        <sz val="14"/>
        <color theme="1"/>
        <rFont val="Arial"/>
        <family val="2"/>
      </rPr>
      <t xml:space="preserve">± 3.3 </t>
    </r>
  </si>
  <si>
    <r>
      <t xml:space="preserve">3.1 </t>
    </r>
    <r>
      <rPr>
        <sz val="14"/>
        <color theme="1"/>
        <rFont val="Arial"/>
        <family val="2"/>
      </rPr>
      <t>± 8.5</t>
    </r>
  </si>
  <si>
    <r>
      <t xml:space="preserve">39.0 </t>
    </r>
    <r>
      <rPr>
        <sz val="14"/>
        <color theme="1"/>
        <rFont val="Arial"/>
        <family val="2"/>
      </rPr>
      <t>± 24.6</t>
    </r>
  </si>
  <si>
    <r>
      <t>0.1</t>
    </r>
    <r>
      <rPr>
        <sz val="14"/>
        <color theme="1"/>
        <rFont val="Arial"/>
        <family val="2"/>
      </rPr>
      <t xml:space="preserve"> ± 0.4</t>
    </r>
  </si>
  <si>
    <r>
      <t xml:space="preserve">14.7 </t>
    </r>
    <r>
      <rPr>
        <sz val="14"/>
        <color theme="1"/>
        <rFont val="Arial"/>
        <family val="2"/>
      </rPr>
      <t>± 1.7</t>
    </r>
  </si>
  <si>
    <t>Activity demonstrated in the current report</t>
  </si>
  <si>
    <r>
      <t xml:space="preserve">FIOCRUZ 72 h (mean </t>
    </r>
    <r>
      <rPr>
        <b/>
        <sz val="10"/>
        <color rgb="FF000000"/>
        <rFont val="Calibri"/>
        <family val="2"/>
      </rPr>
      <t>±</t>
    </r>
    <r>
      <rPr>
        <b/>
        <sz val="10"/>
        <color rgb="FF000000"/>
        <rFont val="Arial"/>
        <family val="2"/>
      </rPr>
      <t xml:space="preserve"> SD)</t>
    </r>
  </si>
  <si>
    <t xml:space="preserve"> </t>
  </si>
  <si>
    <t>Newly Transformed Schistosomula: inhibition at 10 μM at 72 h (%)</t>
  </si>
  <si>
    <t>Newly Transformed Schistosomula: IC50  at 72 h (μM)</t>
  </si>
  <si>
    <r>
      <t>Anti - Schistosoma mansoni activity data</t>
    </r>
    <r>
      <rPr>
        <b/>
        <vertAlign val="superscript"/>
        <sz val="11"/>
        <color indexed="8"/>
        <rFont val="Arial"/>
        <family val="2"/>
      </rPr>
      <t>c</t>
    </r>
  </si>
  <si>
    <r>
      <t xml:space="preserve">Anti - </t>
    </r>
    <r>
      <rPr>
        <b/>
        <i/>
        <sz val="11"/>
        <color theme="1"/>
        <rFont val="Arial"/>
        <family val="2"/>
      </rPr>
      <t xml:space="preserve">Schistosoma mansoni activity data </t>
    </r>
    <r>
      <rPr>
        <b/>
        <i/>
        <vertAlign val="superscript"/>
        <sz val="11"/>
        <color theme="1"/>
        <rFont val="Arial"/>
        <family val="2"/>
      </rPr>
      <t>b</t>
    </r>
  </si>
  <si>
    <r>
      <rPr>
        <b/>
        <vertAlign val="superscript"/>
        <sz val="11"/>
        <color indexed="8"/>
        <rFont val="Arial"/>
        <family val="2"/>
      </rPr>
      <t xml:space="preserve">b </t>
    </r>
    <r>
      <rPr>
        <b/>
        <sz val="11"/>
        <color indexed="8"/>
        <rFont val="Arial"/>
        <family val="2"/>
      </rPr>
      <t xml:space="preserve"> Phenotypic assays  performed by the Caffrey group at the Center for Discovery and Innovation in Parasitic Diseases,  Skaggs School of Pharmacy and Pharmaceutical Sciences, UC San Diego (www.cdipd.org)</t>
    </r>
  </si>
  <si>
    <r>
      <rPr>
        <b/>
        <vertAlign val="superscript"/>
        <sz val="11"/>
        <color indexed="8"/>
        <rFont val="Arial"/>
        <family val="2"/>
      </rPr>
      <t xml:space="preserve">c </t>
    </r>
    <r>
      <rPr>
        <b/>
        <sz val="11"/>
        <color indexed="8"/>
        <rFont val="Arial"/>
        <family val="2"/>
      </rPr>
      <t xml:space="preserve">Screening data described more fully in the following publication: High throughput screening identifies novel lead compounds with activity against larval, juvenile and adult </t>
    </r>
    <r>
      <rPr>
        <b/>
        <i/>
        <sz val="11"/>
        <color indexed="8"/>
        <rFont val="Arial"/>
        <family val="2"/>
      </rPr>
      <t>Schistosoma mansoni</t>
    </r>
    <r>
      <rPr>
        <b/>
        <sz val="11"/>
        <color indexed="8"/>
        <rFont val="Arial"/>
        <family val="2"/>
      </rPr>
      <t>, Nuha Mansour, Ross Paveley, J. Mark F. Gardner, Andrew S. Bell, Tanya Parkinson and Quentin Bickle, PLoS Neglected Tropical Diseases, 2016 (http://dx.doi.org/10.1371/journal.pntd.0004659)</t>
    </r>
  </si>
  <si>
    <t>UCSD only hits at 24 h</t>
  </si>
  <si>
    <t>UCSD only hits at 48 h</t>
  </si>
  <si>
    <t>UCSD  score 48 h</t>
  </si>
  <si>
    <t>Swiss TPH score 24 h</t>
  </si>
  <si>
    <t>UCSD score 24 h</t>
  </si>
  <si>
    <t>Swiss TPH score 48 h</t>
  </si>
  <si>
    <t>UCSD only hits at 72 h</t>
  </si>
  <si>
    <t>UCSD score 72 h</t>
  </si>
  <si>
    <t>FIOCRUZ score 72 h</t>
  </si>
  <si>
    <t>Swiss TPH score 72 h</t>
  </si>
  <si>
    <t>UCSD score48 h</t>
  </si>
  <si>
    <t>Swiss TPH only hits at 24 h</t>
  </si>
  <si>
    <t>Swiss TPH only hits at 48 h</t>
  </si>
  <si>
    <t>FIOCRUZ 72 h</t>
  </si>
  <si>
    <t>Swiss TPH only hits at 72 h</t>
  </si>
  <si>
    <t>FIOCRUZ only hits at 72 h</t>
  </si>
  <si>
    <t>UCSD score 72  h</t>
  </si>
  <si>
    <t>3) Negative numbers become 0</t>
  </si>
  <si>
    <t>Coverting descriptors to a Severity Score</t>
  </si>
  <si>
    <r>
      <t xml:space="preserve">Deg, Teg bleb and  </t>
    </r>
    <r>
      <rPr>
        <b/>
        <sz val="12"/>
        <rFont val="Arial"/>
        <family val="2"/>
      </rPr>
      <t>D</t>
    </r>
    <r>
      <rPr>
        <sz val="12"/>
        <rFont val="Arial"/>
        <family val="2"/>
      </rPr>
      <t xml:space="preserve">  trump and are awarded a score of 4 </t>
    </r>
  </si>
  <si>
    <t xml:space="preserve">Hit rules applied </t>
  </si>
  <si>
    <t>Swiss TPH 24 h</t>
  </si>
  <si>
    <t>Swiss TPH 48 h</t>
  </si>
  <si>
    <r>
      <t>Deg,</t>
    </r>
    <r>
      <rPr>
        <b/>
        <sz val="10"/>
        <color theme="1"/>
        <rFont val="Arial"/>
        <family val="2"/>
      </rPr>
      <t xml:space="preserve"> D</t>
    </r>
  </si>
  <si>
    <t>72 h</t>
  </si>
  <si>
    <t>Each descriptor awarded a score of 1. Its possible to have more than one descriptor per well.</t>
  </si>
  <si>
    <r>
      <t xml:space="preserve">P.D. = partial death, </t>
    </r>
    <r>
      <rPr>
        <i/>
        <sz val="12"/>
        <rFont val="Arial"/>
        <family val="2"/>
      </rPr>
      <t>i.e</t>
    </r>
    <r>
      <rPr>
        <sz val="12"/>
        <rFont val="Arial"/>
        <family val="2"/>
      </rPr>
      <t>., a proportion of the somules per well are apparently dead (expressed in %)</t>
    </r>
  </si>
  <si>
    <t xml:space="preserve">was considered as a lead given its high activity at 24h and 48h </t>
  </si>
  <si>
    <t>F ≤ 50%</t>
  </si>
  <si>
    <t>Number of leads</t>
  </si>
  <si>
    <r>
      <rPr>
        <b/>
        <sz val="12"/>
        <rFont val="Arial"/>
        <family val="2"/>
      </rPr>
      <t>D</t>
    </r>
    <r>
      <rPr>
        <sz val="12"/>
        <rFont val="Arial"/>
        <family val="2"/>
      </rPr>
      <t xml:space="preserve"> = dead</t>
    </r>
  </si>
  <si>
    <t xml:space="preserve">Fiocruz </t>
  </si>
  <si>
    <t>FIOCRUZ scores</t>
  </si>
  <si>
    <t>*Pasche V, Laleu B, Keiser J. Early antischistosomal leads identified from in vitro and in vivo screening of the medicines for Malaria Venture Pathogen Box. ACS Infect Dis. 2019;5:102–10.</t>
  </si>
  <si>
    <r>
      <t xml:space="preserve">Swiss TPH scores vs. adult </t>
    </r>
    <r>
      <rPr>
        <b/>
        <i/>
        <sz val="18"/>
        <color theme="1"/>
        <rFont val="Arial"/>
        <family val="2"/>
      </rPr>
      <t>S. mansoni*</t>
    </r>
  </si>
  <si>
    <t>The leads were selected based on an effect ≥ 0.75 at 72 h</t>
  </si>
  <si>
    <t>STRUCTURE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</si>
</sst>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;;;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sz val="16"/>
      <color theme="1"/>
      <name val="Arial"/>
      <family val="2"/>
    </font>
    <font>
      <sz val="16"/>
      <name val="Arial"/>
      <family val="2"/>
    </font>
    <font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Arial"/>
      <family val="2"/>
    </font>
    <font>
      <sz val="8"/>
      <name val="Times New Roman"/>
      <family val="1"/>
    </font>
    <font>
      <sz val="10"/>
      <color indexed="8"/>
      <name val="Arial"/>
      <family val="2"/>
    </font>
    <font>
      <sz val="12"/>
      <color theme="4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"/>
      <name val="Arial"/>
      <family val="2"/>
    </font>
    <font>
      <b/>
      <sz val="11"/>
      <color indexed="8"/>
      <name val="Arial"/>
      <family val="2"/>
    </font>
    <font>
      <b/>
      <vertAlign val="superscript"/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vertAlign val="superscript"/>
      <sz val="1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9"/>
      <color rgb="FF000000"/>
      <name val="Tahoma"/>
      <family val="2"/>
    </font>
    <font>
      <b/>
      <sz val="12"/>
      <color rgb="FFFF0000"/>
      <name val="Arial"/>
      <family val="2"/>
    </font>
    <font>
      <b/>
      <sz val="14"/>
      <name val="Arial"/>
      <family val="2"/>
    </font>
    <font>
      <b/>
      <sz val="16"/>
      <color rgb="FF000000"/>
      <name val="Arial"/>
      <family val="2"/>
    </font>
    <font>
      <i/>
      <sz val="16"/>
      <color rgb="FF000000"/>
      <name val="Arial"/>
      <family val="2"/>
    </font>
    <font>
      <i/>
      <sz val="16"/>
      <color theme="1"/>
      <name val="Arial"/>
      <family val="2"/>
    </font>
    <font>
      <b/>
      <sz val="16"/>
      <color rgb="FFFF0000"/>
      <name val="Arial"/>
      <family val="2"/>
    </font>
    <font>
      <i/>
      <sz val="16"/>
      <color rgb="FFFF000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9"/>
      <color theme="4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rgb="FFFF0000"/>
      <name val="Arial"/>
      <family val="2"/>
    </font>
    <font>
      <sz val="18"/>
      <color rgb="FFFF0000"/>
      <name val="Arial"/>
      <family val="2"/>
    </font>
    <font>
      <b/>
      <sz val="20"/>
      <color rgb="FFFF0000"/>
      <name val="Arial"/>
      <family val="2"/>
    </font>
    <font>
      <b/>
      <sz val="20"/>
      <color theme="1"/>
      <name val="Arial"/>
      <family val="2"/>
    </font>
    <font>
      <b/>
      <sz val="16"/>
      <color theme="3" tint="0.39997558519241921"/>
      <name val="Arial"/>
      <family val="2"/>
    </font>
    <font>
      <b/>
      <sz val="14"/>
      <color theme="3" tint="0.39997558519241921"/>
      <name val="Arial"/>
      <family val="2"/>
    </font>
    <font>
      <b/>
      <i/>
      <sz val="11"/>
      <color theme="1"/>
      <name val="Arial"/>
      <family val="2"/>
    </font>
    <font>
      <b/>
      <i/>
      <vertAlign val="superscript"/>
      <sz val="11"/>
      <color theme="1"/>
      <name val="Arial"/>
      <family val="2"/>
    </font>
    <font>
      <sz val="14"/>
      <color indexed="8"/>
      <name val="Arial"/>
      <family val="2"/>
    </font>
    <font>
      <b/>
      <sz val="22"/>
      <color theme="7" tint="-0.249977111117893"/>
      <name val="Arial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b/>
      <i/>
      <sz val="18"/>
      <color theme="1"/>
      <name val="Arial"/>
      <family val="2"/>
    </font>
    <font>
      <sz val="20"/>
      <color theme="1"/>
      <name val="Arial"/>
      <family val="2"/>
    </font>
    <font>
      <sz val="20"/>
      <name val="Arial"/>
      <family val="2"/>
    </font>
    <font>
      <b/>
      <sz val="10"/>
      <color rgb="FF000000"/>
      <name val="Calibri"/>
      <family val="2"/>
    </font>
    <font>
      <b/>
      <sz val="14"/>
      <color indexed="8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7"/>
      <color theme="1"/>
      <name val="Arial"/>
      <family val="2"/>
    </font>
    <font>
      <b/>
      <sz val="17"/>
      <name val="Arial"/>
      <family val="2"/>
    </font>
    <font>
      <sz val="17"/>
      <color theme="1"/>
      <name val="Arial"/>
      <family val="2"/>
    </font>
    <font>
      <sz val="17"/>
      <name val="Arial"/>
      <family val="2"/>
    </font>
    <font>
      <sz val="17"/>
      <color theme="4"/>
      <name val="Arial"/>
      <family val="2"/>
    </font>
    <font>
      <i/>
      <sz val="14"/>
      <color theme="1"/>
      <name val="Arial"/>
      <family val="2"/>
    </font>
    <font>
      <sz val="14"/>
      <color theme="4"/>
      <name val="Arial"/>
      <family val="2"/>
    </font>
    <font>
      <i/>
      <sz val="12"/>
      <name val="Arial"/>
      <family val="2"/>
    </font>
    <font>
      <b/>
      <sz val="14"/>
      <color rgb="FF000000"/>
      <name val="Arial"/>
      <family val="2"/>
    </font>
    <font>
      <b/>
      <sz val="20"/>
      <color rgb="FF000000"/>
      <name val="Arial"/>
      <family val="2"/>
    </font>
    <font>
      <b/>
      <sz val="20"/>
      <color rgb="FF0070C0"/>
      <name val="Arial"/>
      <family val="2"/>
    </font>
    <font>
      <i/>
      <sz val="20"/>
      <color theme="1"/>
      <name val="Arial"/>
      <family val="2"/>
    </font>
    <font>
      <b/>
      <i/>
      <sz val="20"/>
      <color theme="1"/>
      <name val="Arial"/>
      <family val="2"/>
    </font>
    <font>
      <b/>
      <sz val="20"/>
      <name val="Arial"/>
      <family val="2"/>
    </font>
    <font>
      <b/>
      <sz val="20"/>
      <color theme="3" tint="0.39997558519241921"/>
      <name val="Arial"/>
      <family val="2"/>
    </font>
    <font>
      <b/>
      <sz val="20"/>
      <color theme="4"/>
      <name val="Arial"/>
      <family val="2"/>
    </font>
    <font>
      <b/>
      <sz val="20"/>
      <color theme="7" tint="-0.249977111117893"/>
      <name val="Arial"/>
      <family val="2"/>
    </font>
    <font>
      <b/>
      <sz val="17"/>
      <color theme="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40FF"/>
        <bgColor indexed="64"/>
      </patternFill>
    </fill>
    <fill>
      <patternFill patternType="solid">
        <fgColor theme="6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2" fillId="0" borderId="0">
      <alignment horizontal="center" vertical="center" wrapText="1"/>
    </xf>
    <xf numFmtId="165" fontId="2" fillId="0" borderId="0"/>
    <xf numFmtId="0" fontId="24" fillId="0" borderId="0"/>
    <xf numFmtId="0" fontId="25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2" fillId="0" borderId="0"/>
  </cellStyleXfs>
  <cellXfs count="67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0" fillId="0" borderId="6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2" fontId="20" fillId="0" borderId="6" xfId="0" applyNumberFormat="1" applyFont="1" applyBorder="1" applyAlignment="1">
      <alignment horizontal="center" vertical="center"/>
    </xf>
    <xf numFmtId="2" fontId="20" fillId="0" borderId="0" xfId="0" applyNumberFormat="1" applyFont="1" applyBorder="1" applyAlignment="1">
      <alignment horizontal="center" vertical="center"/>
    </xf>
    <xf numFmtId="2" fontId="20" fillId="0" borderId="5" xfId="0" applyNumberFormat="1" applyFont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1" fillId="0" borderId="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2" fontId="21" fillId="0" borderId="6" xfId="0" applyNumberFormat="1" applyFont="1" applyBorder="1" applyAlignment="1">
      <alignment horizontal="center" vertical="center"/>
    </xf>
    <xf numFmtId="2" fontId="21" fillId="0" borderId="0" xfId="0" applyNumberFormat="1" applyFont="1" applyBorder="1" applyAlignment="1">
      <alignment horizontal="center" vertical="center"/>
    </xf>
    <xf numFmtId="2" fontId="21" fillId="0" borderId="5" xfId="0" applyNumberFormat="1" applyFont="1" applyBorder="1" applyAlignment="1">
      <alignment horizontal="center" vertical="center"/>
    </xf>
    <xf numFmtId="164" fontId="21" fillId="0" borderId="5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2" fontId="20" fillId="0" borderId="6" xfId="0" applyNumberFormat="1" applyFont="1" applyFill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 vertical="center"/>
    </xf>
    <xf numFmtId="2" fontId="20" fillId="0" borderId="5" xfId="0" applyNumberFormat="1" applyFont="1" applyFill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2" fontId="20" fillId="2" borderId="5" xfId="0" applyNumberFormat="1" applyFont="1" applyFill="1" applyBorder="1" applyAlignment="1">
      <alignment horizontal="center" vertical="center"/>
    </xf>
    <xf numFmtId="2" fontId="21" fillId="0" borderId="6" xfId="0" applyNumberFormat="1" applyFont="1" applyFill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/>
    </xf>
    <xf numFmtId="2" fontId="21" fillId="0" borderId="5" xfId="0" applyNumberFormat="1" applyFont="1" applyFill="1" applyBorder="1" applyAlignment="1">
      <alignment horizontal="center" vertical="center"/>
    </xf>
    <xf numFmtId="164" fontId="21" fillId="0" borderId="5" xfId="0" applyNumberFormat="1" applyFont="1" applyFill="1" applyBorder="1" applyAlignment="1">
      <alignment horizontal="center" vertical="center"/>
    </xf>
    <xf numFmtId="2" fontId="20" fillId="0" borderId="23" xfId="0" applyNumberFormat="1" applyFont="1" applyFill="1" applyBorder="1" applyAlignment="1">
      <alignment horizontal="center" vertical="center"/>
    </xf>
    <xf numFmtId="2" fontId="20" fillId="0" borderId="24" xfId="0" applyNumberFormat="1" applyFont="1" applyFill="1" applyBorder="1" applyAlignment="1">
      <alignment horizontal="center" vertical="center"/>
    </xf>
    <xf numFmtId="2" fontId="20" fillId="0" borderId="2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2" fontId="11" fillId="0" borderId="29" xfId="0" applyNumberFormat="1" applyFont="1" applyBorder="1" applyAlignment="1">
      <alignment horizontal="center" vertical="center" wrapText="1"/>
    </xf>
    <xf numFmtId="2" fontId="11" fillId="0" borderId="30" xfId="0" applyNumberFormat="1" applyFont="1" applyBorder="1" applyAlignment="1">
      <alignment horizontal="center" vertical="center" wrapText="1"/>
    </xf>
    <xf numFmtId="2" fontId="11" fillId="0" borderId="32" xfId="0" applyNumberFormat="1" applyFont="1" applyBorder="1" applyAlignment="1">
      <alignment horizontal="center" vertical="center" wrapText="1"/>
    </xf>
    <xf numFmtId="0" fontId="3" fillId="0" borderId="24" xfId="0" applyFont="1" applyFill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7" fillId="0" borderId="0" xfId="0" applyFont="1" applyAlignment="1">
      <alignment wrapText="1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center" vertical="center" wrapText="1"/>
    </xf>
    <xf numFmtId="0" fontId="31" fillId="0" borderId="0" xfId="0" applyFont="1" applyBorder="1" applyAlignment="1"/>
    <xf numFmtId="0" fontId="5" fillId="0" borderId="0" xfId="0" applyFont="1" applyBorder="1" applyAlignment="1"/>
    <xf numFmtId="0" fontId="3" fillId="0" borderId="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11" fontId="0" fillId="0" borderId="0" xfId="0" applyNumberFormat="1"/>
    <xf numFmtId="0" fontId="6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26" fillId="3" borderId="43" xfId="0" applyFont="1" applyFill="1" applyBorder="1" applyAlignment="1">
      <alignment horizontal="center" vertical="center" wrapText="1"/>
    </xf>
    <xf numFmtId="0" fontId="26" fillId="6" borderId="44" xfId="0" applyFont="1" applyFill="1" applyBorder="1" applyAlignment="1">
      <alignment horizontal="center" vertical="center" wrapText="1"/>
    </xf>
    <xf numFmtId="0" fontId="36" fillId="6" borderId="45" xfId="0" applyFont="1" applyFill="1" applyBorder="1" applyAlignment="1">
      <alignment horizontal="center" vertical="center" wrapText="1"/>
    </xf>
    <xf numFmtId="0" fontId="36" fillId="7" borderId="44" xfId="0" applyFont="1" applyFill="1" applyBorder="1" applyAlignment="1">
      <alignment horizontal="center" vertical="center" wrapText="1"/>
    </xf>
    <xf numFmtId="0" fontId="36" fillId="8" borderId="46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6" fillId="4" borderId="13" xfId="0" applyFont="1" applyFill="1" applyBorder="1" applyAlignment="1">
      <alignment horizontal="center" vertical="center" wrapText="1"/>
    </xf>
    <xf numFmtId="0" fontId="26" fillId="4" borderId="38" xfId="0" applyFont="1" applyFill="1" applyBorder="1" applyAlignment="1">
      <alignment horizontal="center" vertical="center" wrapText="1"/>
    </xf>
    <xf numFmtId="0" fontId="26" fillId="6" borderId="36" xfId="0" applyFont="1" applyFill="1" applyBorder="1" applyAlignment="1">
      <alignment horizontal="center" vertical="center" wrapText="1"/>
    </xf>
    <xf numFmtId="0" fontId="26" fillId="6" borderId="46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2" fontId="42" fillId="0" borderId="12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2" fontId="42" fillId="0" borderId="0" xfId="0" applyNumberFormat="1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vertical="center"/>
    </xf>
    <xf numFmtId="0" fontId="44" fillId="0" borderId="5" xfId="0" applyFont="1" applyFill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13" fillId="0" borderId="33" xfId="0" applyFont="1" applyFill="1" applyBorder="1" applyAlignment="1">
      <alignment vertical="center"/>
    </xf>
    <xf numFmtId="0" fontId="17" fillId="0" borderId="33" xfId="0" applyFont="1" applyBorder="1" applyAlignment="1">
      <alignment vertical="center"/>
    </xf>
    <xf numFmtId="0" fontId="17" fillId="0" borderId="35" xfId="0" applyFont="1" applyBorder="1" applyAlignment="1">
      <alignment vertical="center"/>
    </xf>
    <xf numFmtId="0" fontId="20" fillId="0" borderId="25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2" fontId="42" fillId="0" borderId="24" xfId="0" applyNumberFormat="1" applyFont="1" applyFill="1" applyBorder="1" applyAlignment="1">
      <alignment horizontal="center" vertical="center" wrapText="1"/>
    </xf>
    <xf numFmtId="2" fontId="43" fillId="0" borderId="5" xfId="0" applyNumberFormat="1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21" fillId="0" borderId="5" xfId="0" applyFont="1" applyBorder="1" applyAlignment="1">
      <alignment vertical="center"/>
    </xf>
    <xf numFmtId="0" fontId="21" fillId="0" borderId="25" xfId="0" applyFont="1" applyBorder="1" applyAlignment="1">
      <alignment vertical="center"/>
    </xf>
    <xf numFmtId="0" fontId="13" fillId="0" borderId="34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2" fontId="46" fillId="0" borderId="3" xfId="0" applyNumberFormat="1" applyFont="1" applyFill="1" applyBorder="1" applyAlignment="1">
      <alignment horizontal="center" vertical="center" wrapText="1"/>
    </xf>
    <xf numFmtId="0" fontId="6" fillId="0" borderId="0" xfId="11" applyFont="1" applyAlignment="1">
      <alignment vertical="center" wrapText="1"/>
    </xf>
    <xf numFmtId="0" fontId="9" fillId="0" borderId="24" xfId="11" applyFont="1" applyBorder="1" applyAlignment="1">
      <alignment horizontal="center" vertical="center" wrapText="1"/>
    </xf>
    <xf numFmtId="0" fontId="6" fillId="0" borderId="2" xfId="11" applyFont="1" applyBorder="1" applyAlignment="1">
      <alignment horizontal="center" vertical="center" wrapText="1"/>
    </xf>
    <xf numFmtId="0" fontId="6" fillId="0" borderId="0" xfId="11" applyFont="1" applyBorder="1" applyAlignment="1">
      <alignment horizontal="center" vertical="center" wrapText="1"/>
    </xf>
    <xf numFmtId="0" fontId="16" fillId="0" borderId="0" xfId="11" applyFont="1" applyFill="1" applyBorder="1" applyAlignment="1">
      <alignment horizontal="left" vertical="center" wrapText="1"/>
    </xf>
    <xf numFmtId="0" fontId="16" fillId="0" borderId="0" xfId="11" applyFont="1" applyBorder="1" applyAlignment="1">
      <alignment horizontal="left" vertical="center" wrapText="1"/>
    </xf>
    <xf numFmtId="0" fontId="6" fillId="0" borderId="0" xfId="11" applyFont="1" applyFill="1" applyBorder="1" applyAlignment="1">
      <alignment horizontal="left" vertical="center" wrapText="1"/>
    </xf>
    <xf numFmtId="0" fontId="16" fillId="0" borderId="0" xfId="11" applyFont="1" applyBorder="1" applyAlignment="1">
      <alignment vertical="center" wrapText="1"/>
    </xf>
    <xf numFmtId="0" fontId="6" fillId="0" borderId="0" xfId="11" applyFont="1" applyFill="1" applyBorder="1" applyAlignment="1">
      <alignment horizontal="center" vertical="center" wrapText="1"/>
    </xf>
    <xf numFmtId="0" fontId="6" fillId="0" borderId="19" xfId="11" applyFont="1" applyBorder="1" applyAlignment="1">
      <alignment horizontal="center" vertical="center" wrapText="1"/>
    </xf>
    <xf numFmtId="0" fontId="6" fillId="0" borderId="0" xfId="11" applyFont="1" applyFill="1" applyAlignment="1">
      <alignment horizontal="left" vertical="center" wrapText="1"/>
    </xf>
    <xf numFmtId="0" fontId="36" fillId="0" borderId="0" xfId="11" applyFont="1" applyBorder="1" applyAlignment="1">
      <alignment horizontal="center" vertical="center" wrapText="1"/>
    </xf>
    <xf numFmtId="0" fontId="28" fillId="0" borderId="30" xfId="0" applyFont="1" applyFill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47" fillId="0" borderId="6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2" fontId="8" fillId="0" borderId="5" xfId="0" applyNumberFormat="1" applyFont="1" applyBorder="1" applyAlignment="1">
      <alignment horizontal="center" vertical="center" wrapText="1"/>
    </xf>
    <xf numFmtId="164" fontId="8" fillId="0" borderId="5" xfId="0" applyNumberFormat="1" applyFont="1" applyBorder="1" applyAlignment="1">
      <alignment horizontal="center" vertical="center" wrapText="1"/>
    </xf>
    <xf numFmtId="0" fontId="50" fillId="0" borderId="0" xfId="0" applyFont="1" applyFill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2" fontId="47" fillId="0" borderId="5" xfId="0" applyNumberFormat="1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5" xfId="0" applyNumberFormat="1" applyFont="1" applyFill="1" applyBorder="1" applyAlignment="1">
      <alignment horizontal="center" vertical="center" wrapText="1"/>
    </xf>
    <xf numFmtId="164" fontId="8" fillId="0" borderId="5" xfId="0" applyNumberFormat="1" applyFont="1" applyFill="1" applyBorder="1" applyAlignment="1">
      <alignment horizontal="center" vertical="center" wrapText="1"/>
    </xf>
    <xf numFmtId="0" fontId="28" fillId="0" borderId="51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2" fontId="8" fillId="0" borderId="53" xfId="0" applyNumberFormat="1" applyFont="1" applyBorder="1" applyAlignment="1">
      <alignment horizontal="center" vertical="center" wrapText="1"/>
    </xf>
    <xf numFmtId="2" fontId="8" fillId="0" borderId="9" xfId="0" applyNumberFormat="1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2" fontId="8" fillId="5" borderId="0" xfId="0" applyNumberFormat="1" applyFont="1" applyFill="1" applyBorder="1" applyAlignment="1">
      <alignment horizontal="center" vertical="center" wrapText="1"/>
    </xf>
    <xf numFmtId="164" fontId="8" fillId="9" borderId="5" xfId="0" applyNumberFormat="1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2" fontId="8" fillId="0" borderId="24" xfId="0" applyNumberFormat="1" applyFont="1" applyBorder="1" applyAlignment="1">
      <alignment horizontal="center" vertical="center" wrapText="1"/>
    </xf>
    <xf numFmtId="164" fontId="8" fillId="0" borderId="25" xfId="0" applyNumberFormat="1" applyFont="1" applyBorder="1" applyAlignment="1">
      <alignment horizontal="center" vertical="center" wrapText="1"/>
    </xf>
    <xf numFmtId="2" fontId="8" fillId="0" borderId="25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47" fillId="0" borderId="23" xfId="0" applyFont="1" applyFill="1" applyBorder="1" applyAlignment="1">
      <alignment horizontal="center" vertical="center" wrapText="1"/>
    </xf>
    <xf numFmtId="0" fontId="47" fillId="0" borderId="24" xfId="0" applyFont="1" applyBorder="1" applyAlignment="1">
      <alignment horizontal="center" vertical="center" wrapText="1"/>
    </xf>
    <xf numFmtId="2" fontId="47" fillId="0" borderId="25" xfId="0" applyNumberFormat="1" applyFont="1" applyBorder="1" applyAlignment="1">
      <alignment horizontal="center" vertical="center" wrapText="1"/>
    </xf>
    <xf numFmtId="0" fontId="48" fillId="0" borderId="24" xfId="0" applyFont="1" applyBorder="1" applyAlignment="1">
      <alignment horizontal="center" vertical="center" wrapText="1"/>
    </xf>
    <xf numFmtId="164" fontId="8" fillId="0" borderId="53" xfId="0" applyNumberFormat="1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 vertical="center" wrapText="1"/>
    </xf>
    <xf numFmtId="164" fontId="21" fillId="2" borderId="5" xfId="0" applyNumberFormat="1" applyFont="1" applyFill="1" applyBorder="1" applyAlignment="1">
      <alignment horizontal="center" vertical="center"/>
    </xf>
    <xf numFmtId="164" fontId="21" fillId="0" borderId="25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54" fillId="0" borderId="0" xfId="0" applyFont="1" applyFill="1" applyAlignment="1">
      <alignment horizontal="center" vertical="center"/>
    </xf>
    <xf numFmtId="164" fontId="20" fillId="0" borderId="33" xfId="0" applyNumberFormat="1" applyFont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/>
    </xf>
    <xf numFmtId="0" fontId="21" fillId="10" borderId="0" xfId="0" applyFont="1" applyFill="1" applyBorder="1" applyAlignment="1">
      <alignment horizontal="center" vertical="center"/>
    </xf>
    <xf numFmtId="0" fontId="21" fillId="10" borderId="5" xfId="0" applyFont="1" applyFill="1" applyBorder="1" applyAlignment="1">
      <alignment horizontal="center" vertical="center"/>
    </xf>
    <xf numFmtId="2" fontId="21" fillId="10" borderId="6" xfId="0" applyNumberFormat="1" applyFont="1" applyFill="1" applyBorder="1" applyAlignment="1">
      <alignment horizontal="center" vertical="center"/>
    </xf>
    <xf numFmtId="2" fontId="21" fillId="10" borderId="0" xfId="0" applyNumberFormat="1" applyFont="1" applyFill="1" applyBorder="1" applyAlignment="1">
      <alignment horizontal="center" vertical="center"/>
    </xf>
    <xf numFmtId="2" fontId="21" fillId="10" borderId="5" xfId="0" applyNumberFormat="1" applyFont="1" applyFill="1" applyBorder="1" applyAlignment="1">
      <alignment horizontal="center" vertical="center"/>
    </xf>
    <xf numFmtId="164" fontId="21" fillId="10" borderId="5" xfId="0" applyNumberFormat="1" applyFont="1" applyFill="1" applyBorder="1" applyAlignment="1">
      <alignment horizontal="center" vertical="center"/>
    </xf>
    <xf numFmtId="1" fontId="55" fillId="0" borderId="0" xfId="0" applyNumberFormat="1" applyFont="1" applyFill="1" applyAlignment="1">
      <alignment horizontal="center" vertical="center"/>
    </xf>
    <xf numFmtId="2" fontId="45" fillId="0" borderId="11" xfId="0" applyNumberFormat="1" applyFont="1" applyFill="1" applyBorder="1" applyAlignment="1">
      <alignment horizontal="center" vertical="center" wrapText="1"/>
    </xf>
    <xf numFmtId="0" fontId="6" fillId="0" borderId="0" xfId="11" applyFont="1" applyBorder="1" applyAlignment="1">
      <alignment vertical="center" wrapText="1"/>
    </xf>
    <xf numFmtId="0" fontId="6" fillId="0" borderId="19" xfId="11" applyFont="1" applyFill="1" applyBorder="1" applyAlignment="1">
      <alignment horizontal="left" vertical="center" wrapText="1"/>
    </xf>
    <xf numFmtId="0" fontId="9" fillId="0" borderId="0" xfId="11" applyFont="1" applyBorder="1" applyAlignment="1">
      <alignment horizontal="center" vertical="center" wrapText="1"/>
    </xf>
    <xf numFmtId="0" fontId="6" fillId="0" borderId="18" xfId="11" applyFont="1" applyBorder="1" applyAlignment="1">
      <alignment horizontal="center" vertical="center" wrapText="1"/>
    </xf>
    <xf numFmtId="0" fontId="6" fillId="0" borderId="17" xfId="11" applyFont="1" applyBorder="1" applyAlignment="1">
      <alignment horizontal="center" vertical="center" wrapText="1"/>
    </xf>
    <xf numFmtId="0" fontId="6" fillId="0" borderId="4" xfId="11" applyFont="1" applyBorder="1" applyAlignment="1">
      <alignment horizontal="center" vertical="center" wrapText="1"/>
    </xf>
    <xf numFmtId="0" fontId="6" fillId="0" borderId="7" xfId="11" applyFont="1" applyBorder="1" applyAlignment="1">
      <alignment horizontal="center" vertical="center" wrapText="1"/>
    </xf>
    <xf numFmtId="0" fontId="6" fillId="0" borderId="4" xfId="11" applyFont="1" applyFill="1" applyBorder="1" applyAlignment="1">
      <alignment horizontal="center" vertical="center" wrapText="1"/>
    </xf>
    <xf numFmtId="0" fontId="6" fillId="0" borderId="7" xfId="11" applyFont="1" applyFill="1" applyBorder="1" applyAlignment="1">
      <alignment horizontal="center" vertical="center" wrapText="1"/>
    </xf>
    <xf numFmtId="0" fontId="6" fillId="0" borderId="20" xfId="11" applyFont="1" applyBorder="1" applyAlignment="1">
      <alignment horizontal="center" vertical="center" wrapText="1"/>
    </xf>
    <xf numFmtId="0" fontId="6" fillId="0" borderId="26" xfId="11" applyFont="1" applyBorder="1" applyAlignment="1">
      <alignment horizontal="center" vertical="center" wrapText="1"/>
    </xf>
    <xf numFmtId="0" fontId="6" fillId="0" borderId="2" xfId="11" applyFont="1" applyFill="1" applyBorder="1" applyAlignment="1">
      <alignment horizontal="left" vertical="center" wrapText="1"/>
    </xf>
    <xf numFmtId="0" fontId="36" fillId="0" borderId="4" xfId="11" applyFont="1" applyBorder="1" applyAlignment="1">
      <alignment horizontal="center" vertical="center" wrapText="1"/>
    </xf>
    <xf numFmtId="0" fontId="36" fillId="0" borderId="7" xfId="11" applyFont="1" applyBorder="1" applyAlignment="1">
      <alignment horizontal="center" vertical="center" wrapText="1"/>
    </xf>
    <xf numFmtId="0" fontId="36" fillId="0" borderId="20" xfId="11" applyFont="1" applyBorder="1" applyAlignment="1">
      <alignment horizontal="center" vertical="center" wrapText="1"/>
    </xf>
    <xf numFmtId="0" fontId="36" fillId="0" borderId="19" xfId="11" applyFont="1" applyBorder="1" applyAlignment="1">
      <alignment horizontal="center" vertical="center" wrapText="1"/>
    </xf>
    <xf numFmtId="0" fontId="36" fillId="0" borderId="26" xfId="11" applyFont="1" applyBorder="1" applyAlignment="1">
      <alignment horizontal="center" vertical="center" wrapText="1"/>
    </xf>
    <xf numFmtId="0" fontId="40" fillId="0" borderId="0" xfId="11" applyFont="1" applyBorder="1" applyAlignment="1">
      <alignment vertical="center" wrapText="1"/>
    </xf>
    <xf numFmtId="0" fontId="16" fillId="0" borderId="0" xfId="11" applyFont="1" applyFill="1" applyBorder="1" applyAlignment="1">
      <alignment horizontal="left" vertical="center"/>
    </xf>
    <xf numFmtId="0" fontId="6" fillId="0" borderId="0" xfId="11" applyFont="1" applyBorder="1" applyAlignment="1">
      <alignment vertical="center"/>
    </xf>
    <xf numFmtId="0" fontId="15" fillId="0" borderId="0" xfId="11" applyFont="1" applyBorder="1" applyAlignment="1">
      <alignment horizontal="left" vertical="center"/>
    </xf>
    <xf numFmtId="0" fontId="16" fillId="0" borderId="0" xfId="11" applyFont="1" applyBorder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18" fillId="0" borderId="0" xfId="0" applyFont="1"/>
    <xf numFmtId="0" fontId="3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vertical="center"/>
    </xf>
    <xf numFmtId="164" fontId="21" fillId="0" borderId="0" xfId="0" applyNumberFormat="1" applyFont="1" applyFill="1" applyBorder="1" applyAlignment="1">
      <alignment vertical="center" wrapText="1"/>
    </xf>
    <xf numFmtId="2" fontId="45" fillId="0" borderId="12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vertical="center"/>
    </xf>
    <xf numFmtId="0" fontId="13" fillId="0" borderId="5" xfId="0" applyFont="1" applyFill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45" fillId="0" borderId="24" xfId="0" applyFont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1" fontId="55" fillId="0" borderId="6" xfId="0" applyNumberFormat="1" applyFont="1" applyFill="1" applyBorder="1" applyAlignment="1">
      <alignment horizontal="center" vertical="center"/>
    </xf>
    <xf numFmtId="1" fontId="55" fillId="0" borderId="23" xfId="0" applyNumberFormat="1" applyFont="1" applyFill="1" applyBorder="1" applyAlignment="1">
      <alignment horizontal="center" vertical="center"/>
    </xf>
    <xf numFmtId="1" fontId="55" fillId="0" borderId="3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61" fillId="0" borderId="39" xfId="0" applyFont="1" applyFill="1" applyBorder="1" applyAlignment="1">
      <alignment horizontal="center" vertical="center" wrapText="1"/>
    </xf>
    <xf numFmtId="164" fontId="61" fillId="0" borderId="4" xfId="0" applyNumberFormat="1" applyFont="1" applyFill="1" applyBorder="1" applyAlignment="1">
      <alignment horizontal="center" vertical="center" wrapText="1"/>
    </xf>
    <xf numFmtId="164" fontId="61" fillId="0" borderId="0" xfId="0" applyNumberFormat="1" applyFont="1" applyFill="1" applyBorder="1" applyAlignment="1">
      <alignment horizontal="center" vertical="center" wrapText="1"/>
    </xf>
    <xf numFmtId="164" fontId="61" fillId="0" borderId="7" xfId="0" applyNumberFormat="1" applyFont="1" applyFill="1" applyBorder="1" applyAlignment="1">
      <alignment horizontal="center" vertical="center" wrapText="1"/>
    </xf>
    <xf numFmtId="0" fontId="61" fillId="0" borderId="41" xfId="0" applyFont="1" applyFill="1" applyBorder="1" applyAlignment="1">
      <alignment horizontal="center" vertical="center" wrapText="1"/>
    </xf>
    <xf numFmtId="164" fontId="18" fillId="0" borderId="4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 wrapText="1"/>
    </xf>
    <xf numFmtId="164" fontId="18" fillId="0" borderId="7" xfId="0" applyNumberFormat="1" applyFont="1" applyFill="1" applyBorder="1" applyAlignment="1">
      <alignment horizontal="center" vertical="center" wrapText="1"/>
    </xf>
    <xf numFmtId="164" fontId="61" fillId="0" borderId="39" xfId="0" applyNumberFormat="1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164" fontId="61" fillId="0" borderId="4" xfId="0" applyNumberFormat="1" applyFont="1" applyBorder="1" applyAlignment="1">
      <alignment horizontal="center" vertical="center" wrapText="1"/>
    </xf>
    <xf numFmtId="164" fontId="61" fillId="0" borderId="0" xfId="0" applyNumberFormat="1" applyFont="1" applyBorder="1" applyAlignment="1">
      <alignment horizontal="center" vertical="center" wrapText="1"/>
    </xf>
    <xf numFmtId="164" fontId="61" fillId="0" borderId="7" xfId="0" applyNumberFormat="1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1" fontId="61" fillId="0" borderId="4" xfId="0" applyNumberFormat="1" applyFont="1" applyFill="1" applyBorder="1" applyAlignment="1">
      <alignment horizontal="center" vertical="center" wrapText="1"/>
    </xf>
    <xf numFmtId="1" fontId="61" fillId="0" borderId="20" xfId="0" applyNumberFormat="1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164" fontId="61" fillId="0" borderId="20" xfId="0" applyNumberFormat="1" applyFont="1" applyFill="1" applyBorder="1" applyAlignment="1">
      <alignment horizontal="center" vertical="center" wrapText="1"/>
    </xf>
    <xf numFmtId="164" fontId="61" fillId="0" borderId="19" xfId="0" applyNumberFormat="1" applyFont="1" applyFill="1" applyBorder="1" applyAlignment="1">
      <alignment horizontal="center" vertical="center" wrapText="1"/>
    </xf>
    <xf numFmtId="164" fontId="61" fillId="0" borderId="26" xfId="0" applyNumberFormat="1" applyFont="1" applyFill="1" applyBorder="1" applyAlignment="1">
      <alignment horizontal="center" vertical="center" wrapText="1"/>
    </xf>
    <xf numFmtId="0" fontId="61" fillId="0" borderId="42" xfId="0" applyFont="1" applyFill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62" fillId="0" borderId="0" xfId="0" applyFont="1" applyBorder="1" applyAlignment="1"/>
    <xf numFmtId="0" fontId="62" fillId="0" borderId="0" xfId="0" applyFont="1" applyBorder="1" applyAlignment="1">
      <alignment wrapText="1"/>
    </xf>
    <xf numFmtId="0" fontId="62" fillId="0" borderId="0" xfId="0" applyFont="1" applyBorder="1" applyAlignment="1">
      <alignment horizontal="center" wrapText="1"/>
    </xf>
    <xf numFmtId="0" fontId="13" fillId="0" borderId="0" xfId="0" applyFont="1" applyFill="1" applyBorder="1" applyAlignment="1">
      <alignment horizontal="center" vertical="center" wrapText="1"/>
    </xf>
    <xf numFmtId="0" fontId="63" fillId="0" borderId="0" xfId="0" applyFont="1" applyAlignment="1">
      <alignment vertical="center"/>
    </xf>
    <xf numFmtId="0" fontId="56" fillId="0" borderId="12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vertical="center"/>
    </xf>
    <xf numFmtId="0" fontId="66" fillId="0" borderId="0" xfId="0" applyFont="1" applyFill="1" applyAlignment="1">
      <alignment vertical="center"/>
    </xf>
    <xf numFmtId="0" fontId="13" fillId="0" borderId="24" xfId="0" applyFont="1" applyFill="1" applyBorder="1" applyAlignment="1">
      <alignment horizontal="center" vertical="center" wrapText="1"/>
    </xf>
    <xf numFmtId="0" fontId="66" fillId="0" borderId="4" xfId="0" applyFont="1" applyFill="1" applyBorder="1" applyAlignment="1">
      <alignment horizontal="center" vertical="center"/>
    </xf>
    <xf numFmtId="0" fontId="66" fillId="0" borderId="28" xfId="0" applyFont="1" applyFill="1" applyBorder="1" applyAlignment="1">
      <alignment horizontal="center" vertical="center"/>
    </xf>
    <xf numFmtId="0" fontId="66" fillId="0" borderId="13" xfId="0" applyFont="1" applyFill="1" applyBorder="1" applyAlignment="1">
      <alignment horizontal="center" vertical="center"/>
    </xf>
    <xf numFmtId="0" fontId="66" fillId="0" borderId="18" xfId="0" applyFont="1" applyFill="1" applyBorder="1" applyAlignment="1">
      <alignment horizontal="center" vertical="center"/>
    </xf>
    <xf numFmtId="0" fontId="67" fillId="0" borderId="4" xfId="0" applyFont="1" applyFill="1" applyBorder="1" applyAlignment="1">
      <alignment horizontal="center" vertical="center"/>
    </xf>
    <xf numFmtId="0" fontId="66" fillId="0" borderId="20" xfId="0" applyFont="1" applyFill="1" applyBorder="1" applyAlignment="1">
      <alignment horizontal="center" vertical="center"/>
    </xf>
    <xf numFmtId="0" fontId="56" fillId="0" borderId="17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/>
    </xf>
    <xf numFmtId="2" fontId="56" fillId="0" borderId="7" xfId="0" applyNumberFormat="1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/>
    </xf>
    <xf numFmtId="0" fontId="56" fillId="0" borderId="16" xfId="0" applyFont="1" applyFill="1" applyBorder="1" applyAlignment="1">
      <alignment horizontal="center" vertical="center" wrapText="1"/>
    </xf>
    <xf numFmtId="0" fontId="56" fillId="0" borderId="26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center" vertical="center" wrapText="1"/>
    </xf>
    <xf numFmtId="0" fontId="54" fillId="0" borderId="33" xfId="0" applyFont="1" applyFill="1" applyBorder="1" applyAlignment="1">
      <alignment horizontal="center" vertical="center"/>
    </xf>
    <xf numFmtId="0" fontId="54" fillId="0" borderId="35" xfId="0" applyFont="1" applyFill="1" applyBorder="1" applyAlignment="1">
      <alignment horizontal="center" vertical="center"/>
    </xf>
    <xf numFmtId="1" fontId="55" fillId="0" borderId="11" xfId="0" applyNumberFormat="1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vertical="center"/>
    </xf>
    <xf numFmtId="0" fontId="17" fillId="0" borderId="11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164" fontId="21" fillId="0" borderId="35" xfId="0" applyNumberFormat="1" applyFont="1" applyFill="1" applyBorder="1" applyAlignment="1">
      <alignment vertical="center"/>
    </xf>
    <xf numFmtId="0" fontId="53" fillId="0" borderId="0" xfId="0" applyFont="1" applyAlignment="1">
      <alignment vertical="center"/>
    </xf>
    <xf numFmtId="0" fontId="53" fillId="0" borderId="0" xfId="0" applyFont="1"/>
    <xf numFmtId="0" fontId="20" fillId="0" borderId="0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48" fillId="0" borderId="0" xfId="0" applyFont="1" applyAlignment="1">
      <alignment horizontal="center" vertical="center" wrapText="1"/>
    </xf>
    <xf numFmtId="164" fontId="20" fillId="0" borderId="33" xfId="0" applyNumberFormat="1" applyFont="1" applyFill="1" applyBorder="1" applyAlignment="1">
      <alignment horizontal="center" vertical="center" wrapText="1"/>
    </xf>
    <xf numFmtId="164" fontId="20" fillId="5" borderId="33" xfId="0" applyNumberFormat="1" applyFont="1" applyFill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63" fillId="0" borderId="0" xfId="0" applyFont="1" applyFill="1" applyAlignment="1">
      <alignment horizontal="center" vertical="center"/>
    </xf>
    <xf numFmtId="0" fontId="20" fillId="0" borderId="14" xfId="0" applyFont="1" applyFill="1" applyBorder="1" applyAlignment="1">
      <alignment vertical="center"/>
    </xf>
    <xf numFmtId="0" fontId="53" fillId="0" borderId="33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right" vertical="center" wrapText="1"/>
    </xf>
    <xf numFmtId="0" fontId="18" fillId="0" borderId="0" xfId="0" applyFont="1" applyAlignment="1">
      <alignment horizontal="center" vertical="center" wrapText="1"/>
    </xf>
    <xf numFmtId="0" fontId="18" fillId="0" borderId="7" xfId="0" applyFont="1" applyBorder="1" applyAlignment="1">
      <alignment horizontal="righ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right" vertical="center" wrapText="1"/>
    </xf>
    <xf numFmtId="2" fontId="35" fillId="0" borderId="29" xfId="0" applyNumberFormat="1" applyFont="1" applyBorder="1" applyAlignment="1">
      <alignment horizontal="center" vertical="center" wrapText="1"/>
    </xf>
    <xf numFmtId="1" fontId="69" fillId="0" borderId="4" xfId="0" applyNumberFormat="1" applyFont="1" applyFill="1" applyBorder="1" applyAlignment="1">
      <alignment horizontal="center" vertical="center" wrapText="1"/>
    </xf>
    <xf numFmtId="2" fontId="14" fillId="0" borderId="9" xfId="0" applyNumberFormat="1" applyFont="1" applyBorder="1" applyAlignment="1">
      <alignment horizontal="center" vertical="center" wrapText="1"/>
    </xf>
    <xf numFmtId="2" fontId="14" fillId="0" borderId="10" xfId="0" applyNumberFormat="1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 wrapText="1"/>
    </xf>
    <xf numFmtId="2" fontId="14" fillId="0" borderId="7" xfId="0" applyNumberFormat="1" applyFont="1" applyBorder="1" applyAlignment="1">
      <alignment horizontal="center" vertical="center" wrapText="1"/>
    </xf>
    <xf numFmtId="2" fontId="18" fillId="0" borderId="0" xfId="0" applyNumberFormat="1" applyFont="1" applyAlignment="1">
      <alignment horizontal="center" vertical="center" wrapText="1"/>
    </xf>
    <xf numFmtId="2" fontId="18" fillId="0" borderId="7" xfId="0" applyNumberFormat="1" applyFont="1" applyBorder="1" applyAlignment="1">
      <alignment horizontal="center" vertical="center" wrapText="1"/>
    </xf>
    <xf numFmtId="2" fontId="18" fillId="0" borderId="19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64" fillId="0" borderId="1" xfId="0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Border="1" applyAlignment="1">
      <alignment vertical="center" wrapText="1"/>
    </xf>
    <xf numFmtId="0" fontId="64" fillId="0" borderId="11" xfId="0" applyFont="1" applyFill="1" applyBorder="1" applyAlignment="1">
      <alignment horizontal="center" vertical="center"/>
    </xf>
    <xf numFmtId="0" fontId="64" fillId="0" borderId="12" xfId="0" applyFont="1" applyFill="1" applyBorder="1" applyAlignment="1">
      <alignment horizontal="center" vertical="center"/>
    </xf>
    <xf numFmtId="0" fontId="63" fillId="0" borderId="0" xfId="0" applyFont="1" applyBorder="1" applyAlignment="1">
      <alignment vertical="center"/>
    </xf>
    <xf numFmtId="0" fontId="63" fillId="0" borderId="6" xfId="0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71" fillId="0" borderId="6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23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71" fillId="0" borderId="0" xfId="0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64" fillId="0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72" fillId="0" borderId="12" xfId="0" applyFont="1" applyFill="1" applyBorder="1" applyAlignment="1">
      <alignment horizontal="center" vertical="center" wrapText="1"/>
    </xf>
    <xf numFmtId="0" fontId="72" fillId="0" borderId="15" xfId="0" applyFont="1" applyFill="1" applyBorder="1" applyAlignment="1">
      <alignment horizontal="center" vertical="center" wrapText="1"/>
    </xf>
    <xf numFmtId="0" fontId="72" fillId="0" borderId="12" xfId="0" applyFont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center" vertical="center" wrapText="1"/>
    </xf>
    <xf numFmtId="2" fontId="75" fillId="0" borderId="6" xfId="0" applyNumberFormat="1" applyFont="1" applyFill="1" applyBorder="1" applyAlignment="1">
      <alignment horizontal="center" vertical="center"/>
    </xf>
    <xf numFmtId="2" fontId="75" fillId="0" borderId="0" xfId="0" applyNumberFormat="1" applyFont="1" applyFill="1" applyBorder="1" applyAlignment="1">
      <alignment horizontal="center" vertical="center"/>
    </xf>
    <xf numFmtId="2" fontId="75" fillId="0" borderId="5" xfId="0" applyNumberFormat="1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75" fillId="0" borderId="6" xfId="0" applyFont="1" applyFill="1" applyBorder="1" applyAlignment="1">
      <alignment horizontal="center" vertical="center"/>
    </xf>
    <xf numFmtId="0" fontId="75" fillId="0" borderId="5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left" vertical="center" wrapText="1"/>
    </xf>
    <xf numFmtId="0" fontId="75" fillId="0" borderId="24" xfId="0" applyFont="1" applyFill="1" applyBorder="1" applyAlignment="1">
      <alignment horizontal="center" vertical="center"/>
    </xf>
    <xf numFmtId="0" fontId="74" fillId="0" borderId="24" xfId="0" applyFont="1" applyFill="1" applyBorder="1" applyAlignment="1">
      <alignment horizontal="left" vertical="center" wrapText="1"/>
    </xf>
    <xf numFmtId="0" fontId="74" fillId="0" borderId="24" xfId="0" applyFont="1" applyFill="1" applyBorder="1" applyAlignment="1">
      <alignment horizontal="center" vertical="center" wrapText="1"/>
    </xf>
    <xf numFmtId="0" fontId="75" fillId="0" borderId="23" xfId="0" applyFont="1" applyFill="1" applyBorder="1" applyAlignment="1">
      <alignment horizontal="center" vertical="center"/>
    </xf>
    <xf numFmtId="0" fontId="75" fillId="0" borderId="25" xfId="0" applyFont="1" applyFill="1" applyBorder="1" applyAlignment="1">
      <alignment horizontal="center" vertical="center"/>
    </xf>
    <xf numFmtId="2" fontId="75" fillId="0" borderId="23" xfId="0" applyNumberFormat="1" applyFont="1" applyFill="1" applyBorder="1" applyAlignment="1">
      <alignment horizontal="center" vertical="center"/>
    </xf>
    <xf numFmtId="2" fontId="75" fillId="0" borderId="24" xfId="0" applyNumberFormat="1" applyFont="1" applyFill="1" applyBorder="1" applyAlignment="1">
      <alignment horizontal="center" vertical="center"/>
    </xf>
    <xf numFmtId="2" fontId="75" fillId="0" borderId="25" xfId="0" applyNumberFormat="1" applyFont="1" applyFill="1" applyBorder="1" applyAlignment="1">
      <alignment horizontal="center" vertical="center"/>
    </xf>
    <xf numFmtId="0" fontId="74" fillId="0" borderId="6" xfId="0" applyFont="1" applyFill="1" applyBorder="1" applyAlignment="1">
      <alignment horizontal="center" vertical="center" wrapText="1"/>
    </xf>
    <xf numFmtId="0" fontId="74" fillId="0" borderId="23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wrapText="1"/>
    </xf>
    <xf numFmtId="0" fontId="14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77" fillId="0" borderId="6" xfId="0" applyFont="1" applyBorder="1" applyAlignment="1">
      <alignment horizontal="center" vertical="center" wrapText="1"/>
    </xf>
    <xf numFmtId="0" fontId="77" fillId="0" borderId="0" xfId="0" applyFont="1" applyBorder="1" applyAlignment="1">
      <alignment vertical="center" wrapText="1"/>
    </xf>
    <xf numFmtId="0" fontId="77" fillId="0" borderId="5" xfId="0" applyFont="1" applyBorder="1" applyAlignment="1">
      <alignment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2" fontId="18" fillId="0" borderId="6" xfId="0" applyNumberFormat="1" applyFont="1" applyBorder="1" applyAlignment="1">
      <alignment horizontal="center" vertical="center" wrapText="1"/>
    </xf>
    <xf numFmtId="2" fontId="18" fillId="0" borderId="0" xfId="0" applyNumberFormat="1" applyFont="1" applyBorder="1" applyAlignment="1">
      <alignment horizontal="center" vertical="center" wrapText="1"/>
    </xf>
    <xf numFmtId="2" fontId="18" fillId="0" borderId="5" xfId="0" applyNumberFormat="1" applyFont="1" applyBorder="1" applyAlignment="1">
      <alignment horizontal="center" vertical="center" wrapText="1"/>
    </xf>
    <xf numFmtId="164" fontId="18" fillId="0" borderId="33" xfId="0" applyNumberFormat="1" applyFont="1" applyBorder="1" applyAlignment="1">
      <alignment horizontal="center" vertical="center" wrapText="1"/>
    </xf>
    <xf numFmtId="0" fontId="77" fillId="0" borderId="23" xfId="0" applyFont="1" applyBorder="1" applyAlignment="1">
      <alignment horizontal="center" vertical="center" wrapText="1"/>
    </xf>
    <xf numFmtId="0" fontId="77" fillId="0" borderId="24" xfId="0" applyFont="1" applyBorder="1" applyAlignment="1">
      <alignment vertical="center" wrapText="1"/>
    </xf>
    <xf numFmtId="0" fontId="77" fillId="0" borderId="25" xfId="0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2" fontId="19" fillId="0" borderId="6" xfId="0" applyNumberFormat="1" applyFont="1" applyBorder="1" applyAlignment="1">
      <alignment horizontal="center" vertical="center" wrapText="1"/>
    </xf>
    <xf numFmtId="2" fontId="19" fillId="0" borderId="0" xfId="0" applyNumberFormat="1" applyFont="1" applyBorder="1" applyAlignment="1">
      <alignment horizontal="center"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4" fontId="19" fillId="0" borderId="5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 wrapText="1"/>
    </xf>
    <xf numFmtId="2" fontId="18" fillId="0" borderId="5" xfId="0" applyNumberFormat="1" applyFont="1" applyBorder="1" applyAlignment="1">
      <alignment vertical="center" wrapText="1"/>
    </xf>
    <xf numFmtId="2" fontId="77" fillId="0" borderId="0" xfId="0" applyNumberFormat="1" applyFont="1" applyBorder="1" applyAlignment="1">
      <alignment vertical="center" wrapText="1"/>
    </xf>
    <xf numFmtId="2" fontId="77" fillId="0" borderId="5" xfId="0" applyNumberFormat="1" applyFont="1" applyBorder="1" applyAlignment="1">
      <alignment vertical="center" wrapText="1"/>
    </xf>
    <xf numFmtId="2" fontId="77" fillId="0" borderId="24" xfId="0" applyNumberFormat="1" applyFont="1" applyBorder="1" applyAlignment="1">
      <alignment vertical="center" wrapText="1"/>
    </xf>
    <xf numFmtId="2" fontId="77" fillId="0" borderId="25" xfId="0" applyNumberFormat="1" applyFont="1" applyBorder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2" fontId="77" fillId="0" borderId="2" xfId="0" applyNumberFormat="1" applyFont="1" applyBorder="1" applyAlignment="1">
      <alignment vertical="center" wrapText="1"/>
    </xf>
    <xf numFmtId="2" fontId="77" fillId="0" borderId="3" xfId="0" applyNumberFormat="1" applyFont="1" applyBorder="1" applyAlignment="1">
      <alignment vertical="center" wrapText="1"/>
    </xf>
    <xf numFmtId="164" fontId="77" fillId="0" borderId="0" xfId="0" applyNumberFormat="1" applyFont="1" applyBorder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58" fillId="0" borderId="33" xfId="0" applyFont="1" applyFill="1" applyBorder="1" applyAlignment="1">
      <alignment horizontal="center" vertical="center" wrapText="1"/>
    </xf>
    <xf numFmtId="2" fontId="14" fillId="0" borderId="33" xfId="0" applyNumberFormat="1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2" fontId="19" fillId="0" borderId="6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0" borderId="5" xfId="0" applyNumberFormat="1" applyFont="1" applyFill="1" applyBorder="1" applyAlignment="1">
      <alignment horizontal="center" vertical="center" wrapText="1"/>
    </xf>
    <xf numFmtId="164" fontId="19" fillId="0" borderId="5" xfId="0" applyNumberFormat="1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 wrapText="1"/>
    </xf>
    <xf numFmtId="164" fontId="18" fillId="0" borderId="35" xfId="0" applyNumberFormat="1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center" vertical="center" wrapText="1"/>
    </xf>
    <xf numFmtId="164" fontId="19" fillId="5" borderId="33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Alignment="1">
      <alignment horizontal="center" wrapText="1"/>
    </xf>
    <xf numFmtId="0" fontId="14" fillId="5" borderId="15" xfId="0" applyFont="1" applyFill="1" applyBorder="1" applyAlignment="1">
      <alignment horizontal="center" vertical="center" wrapText="1"/>
    </xf>
    <xf numFmtId="2" fontId="18" fillId="0" borderId="23" xfId="0" applyNumberFormat="1" applyFont="1" applyBorder="1" applyAlignment="1">
      <alignment horizontal="center" vertical="center" wrapText="1"/>
    </xf>
    <xf numFmtId="2" fontId="18" fillId="0" borderId="24" xfId="0" applyNumberFormat="1" applyFont="1" applyBorder="1" applyAlignment="1">
      <alignment horizontal="center" vertical="center" wrapText="1"/>
    </xf>
    <xf numFmtId="2" fontId="18" fillId="0" borderId="25" xfId="0" applyNumberFormat="1" applyFont="1" applyBorder="1" applyAlignment="1">
      <alignment horizontal="center" vertical="center" wrapText="1"/>
    </xf>
    <xf numFmtId="2" fontId="41" fillId="0" borderId="5" xfId="0" applyNumberFormat="1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2" fontId="19" fillId="0" borderId="23" xfId="0" applyNumberFormat="1" applyFont="1" applyBorder="1" applyAlignment="1">
      <alignment horizontal="center" vertical="center" wrapText="1"/>
    </xf>
    <xf numFmtId="2" fontId="19" fillId="0" borderId="24" xfId="0" applyNumberFormat="1" applyFont="1" applyBorder="1" applyAlignment="1">
      <alignment horizontal="center" vertical="center" wrapText="1"/>
    </xf>
    <xf numFmtId="2" fontId="19" fillId="0" borderId="25" xfId="0" applyNumberFormat="1" applyFont="1" applyBorder="1" applyAlignment="1">
      <alignment horizontal="center" vertical="center" wrapText="1"/>
    </xf>
    <xf numFmtId="164" fontId="41" fillId="5" borderId="33" xfId="0" applyNumberFormat="1" applyFont="1" applyFill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2" fontId="19" fillId="2" borderId="5" xfId="0" applyNumberFormat="1" applyFont="1" applyFill="1" applyBorder="1" applyAlignment="1">
      <alignment horizontal="center" vertical="center" wrapText="1"/>
    </xf>
    <xf numFmtId="164" fontId="19" fillId="2" borderId="5" xfId="0" applyNumberFormat="1" applyFont="1" applyFill="1" applyBorder="1" applyAlignment="1">
      <alignment horizontal="center" vertical="center" wrapText="1"/>
    </xf>
    <xf numFmtId="2" fontId="19" fillId="0" borderId="23" xfId="0" applyNumberFormat="1" applyFont="1" applyFill="1" applyBorder="1" applyAlignment="1">
      <alignment horizontal="center" vertical="center" wrapText="1"/>
    </xf>
    <xf numFmtId="2" fontId="19" fillId="0" borderId="24" xfId="0" applyNumberFormat="1" applyFont="1" applyFill="1" applyBorder="1" applyAlignment="1">
      <alignment horizontal="center" vertical="center" wrapText="1"/>
    </xf>
    <xf numFmtId="2" fontId="19" fillId="0" borderId="25" xfId="0" applyNumberFormat="1" applyFont="1" applyFill="1" applyBorder="1" applyAlignment="1">
      <alignment horizontal="center" vertical="center" wrapText="1"/>
    </xf>
    <xf numFmtId="164" fontId="19" fillId="0" borderId="25" xfId="0" applyNumberFormat="1" applyFont="1" applyFill="1" applyBorder="1" applyAlignment="1">
      <alignment horizontal="center" vertical="center" wrapText="1"/>
    </xf>
    <xf numFmtId="0" fontId="14" fillId="7" borderId="14" xfId="0" applyFont="1" applyFill="1" applyBorder="1" applyAlignment="1">
      <alignment horizontal="center" vertical="center" wrapText="1"/>
    </xf>
    <xf numFmtId="2" fontId="10" fillId="0" borderId="14" xfId="0" applyNumberFormat="1" applyFont="1" applyBorder="1" applyAlignment="1">
      <alignment horizontal="center" vertical="center" wrapText="1"/>
    </xf>
    <xf numFmtId="164" fontId="74" fillId="0" borderId="5" xfId="0" applyNumberFormat="1" applyFont="1" applyFill="1" applyBorder="1" applyAlignment="1">
      <alignment horizontal="right" vertical="center" wrapText="1"/>
    </xf>
    <xf numFmtId="164" fontId="75" fillId="0" borderId="5" xfId="0" applyNumberFormat="1" applyFont="1" applyFill="1" applyBorder="1" applyAlignment="1">
      <alignment horizontal="right" vertical="center" wrapText="1"/>
    </xf>
    <xf numFmtId="164" fontId="75" fillId="0" borderId="5" xfId="0" applyNumberFormat="1" applyFont="1" applyFill="1" applyBorder="1" applyAlignment="1">
      <alignment horizontal="right" vertical="center"/>
    </xf>
    <xf numFmtId="164" fontId="75" fillId="0" borderId="33" xfId="0" applyNumberFormat="1" applyFont="1" applyFill="1" applyBorder="1" applyAlignment="1">
      <alignment horizontal="right" vertical="center"/>
    </xf>
    <xf numFmtId="164" fontId="75" fillId="0" borderId="25" xfId="0" applyNumberFormat="1" applyFont="1" applyFill="1" applyBorder="1" applyAlignment="1">
      <alignment horizontal="right" vertical="center"/>
    </xf>
    <xf numFmtId="0" fontId="40" fillId="0" borderId="18" xfId="11" applyFont="1" applyBorder="1" applyAlignment="1">
      <alignment horizontal="center" vertical="center" wrapText="1"/>
    </xf>
    <xf numFmtId="0" fontId="40" fillId="0" borderId="2" xfId="11" applyFont="1" applyBorder="1" applyAlignment="1">
      <alignment horizontal="center" vertical="center" wrapText="1"/>
    </xf>
    <xf numFmtId="0" fontId="40" fillId="0" borderId="17" xfId="11" applyFont="1" applyBorder="1" applyAlignment="1">
      <alignment horizontal="center" vertical="center" wrapText="1"/>
    </xf>
    <xf numFmtId="0" fontId="9" fillId="0" borderId="0" xfId="11" applyFont="1" applyAlignment="1">
      <alignment horizontal="center" vertical="center" wrapText="1"/>
    </xf>
    <xf numFmtId="0" fontId="6" fillId="0" borderId="1" xfId="11" applyFont="1" applyBorder="1" applyAlignment="1">
      <alignment vertical="center" wrapText="1"/>
    </xf>
    <xf numFmtId="0" fontId="40" fillId="0" borderId="0" xfId="11" applyFont="1" applyBorder="1" applyAlignment="1">
      <alignment horizontal="center" vertical="center" wrapText="1"/>
    </xf>
    <xf numFmtId="0" fontId="6" fillId="0" borderId="6" xfId="11" applyFont="1" applyBorder="1" applyAlignment="1">
      <alignment horizontal="center" vertical="center" wrapText="1"/>
    </xf>
    <xf numFmtId="0" fontId="36" fillId="0" borderId="18" xfId="11" applyFont="1" applyBorder="1" applyAlignment="1">
      <alignment horizontal="center" vertical="center" wrapText="1"/>
    </xf>
    <xf numFmtId="0" fontId="36" fillId="0" borderId="2" xfId="11" applyFont="1" applyBorder="1" applyAlignment="1">
      <alignment horizontal="center" vertical="center" wrapText="1"/>
    </xf>
    <xf numFmtId="0" fontId="36" fillId="0" borderId="17" xfId="11" applyFont="1" applyBorder="1" applyAlignment="1">
      <alignment horizontal="center" vertical="center" wrapText="1"/>
    </xf>
    <xf numFmtId="0" fontId="36" fillId="0" borderId="0" xfId="11" applyFont="1" applyFill="1" applyBorder="1" applyAlignment="1">
      <alignment horizontal="center" vertical="center" wrapText="1"/>
    </xf>
    <xf numFmtId="0" fontId="29" fillId="0" borderId="7" xfId="11" applyFont="1" applyBorder="1" applyAlignment="1">
      <alignment horizontal="center" vertical="center" wrapText="1"/>
    </xf>
    <xf numFmtId="0" fontId="29" fillId="0" borderId="4" xfId="11" applyFont="1" applyBorder="1" applyAlignment="1">
      <alignment horizontal="center" vertical="center" wrapText="1"/>
    </xf>
    <xf numFmtId="0" fontId="29" fillId="0" borderId="0" xfId="11" applyFont="1" applyBorder="1" applyAlignment="1">
      <alignment horizontal="center" vertical="center" wrapText="1"/>
    </xf>
    <xf numFmtId="0" fontId="36" fillId="0" borderId="4" xfId="11" applyFont="1" applyFill="1" applyBorder="1" applyAlignment="1">
      <alignment horizontal="center" vertical="center" wrapText="1"/>
    </xf>
    <xf numFmtId="0" fontId="36" fillId="0" borderId="7" xfId="11" applyFont="1" applyFill="1" applyBorder="1" applyAlignment="1">
      <alignment horizontal="center" vertical="center" wrapText="1"/>
    </xf>
    <xf numFmtId="0" fontId="6" fillId="0" borderId="21" xfId="11" applyFont="1" applyBorder="1" applyAlignment="1">
      <alignment horizontal="center" vertical="center" wrapText="1"/>
    </xf>
    <xf numFmtId="0" fontId="36" fillId="0" borderId="0" xfId="11" applyFont="1" applyBorder="1" applyAlignment="1">
      <alignment vertical="center" wrapText="1"/>
    </xf>
    <xf numFmtId="0" fontId="36" fillId="0" borderId="0" xfId="11" applyFont="1" applyAlignment="1">
      <alignment vertical="center" wrapText="1"/>
    </xf>
    <xf numFmtId="164" fontId="14" fillId="0" borderId="33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72" fillId="0" borderId="14" xfId="0" applyFont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2" fontId="80" fillId="0" borderId="11" xfId="0" applyNumberFormat="1" applyFont="1" applyBorder="1" applyAlignment="1">
      <alignment horizontal="center" vertical="center" wrapText="1"/>
    </xf>
    <xf numFmtId="2" fontId="80" fillId="0" borderId="14" xfId="0" applyNumberFormat="1" applyFont="1" applyBorder="1" applyAlignment="1">
      <alignment horizontal="center" vertical="center" wrapText="1"/>
    </xf>
    <xf numFmtId="2" fontId="80" fillId="0" borderId="15" xfId="0" applyNumberFormat="1" applyFont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2" fontId="19" fillId="0" borderId="6" xfId="0" applyNumberFormat="1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19" fillId="0" borderId="34" xfId="0" applyNumberFormat="1" applyFont="1" applyBorder="1" applyAlignment="1">
      <alignment horizontal="center" vertical="center"/>
    </xf>
    <xf numFmtId="0" fontId="14" fillId="0" borderId="0" xfId="0" applyFont="1" applyAlignment="1">
      <alignment vertical="top"/>
    </xf>
    <xf numFmtId="0" fontId="41" fillId="0" borderId="6" xfId="0" applyFont="1" applyFill="1" applyBorder="1" applyAlignment="1">
      <alignment horizontal="center" vertical="center"/>
    </xf>
    <xf numFmtId="2" fontId="19" fillId="0" borderId="33" xfId="0" applyNumberFormat="1" applyFont="1" applyBorder="1" applyAlignment="1">
      <alignment horizontal="center" vertical="center"/>
    </xf>
    <xf numFmtId="0" fontId="58" fillId="0" borderId="5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 wrapText="1"/>
    </xf>
    <xf numFmtId="2" fontId="19" fillId="0" borderId="23" xfId="0" applyNumberFormat="1" applyFont="1" applyBorder="1" applyAlignment="1">
      <alignment horizontal="center" vertical="center"/>
    </xf>
    <xf numFmtId="2" fontId="19" fillId="0" borderId="35" xfId="0" applyNumberFormat="1" applyFont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2" fontId="81" fillId="0" borderId="29" xfId="0" applyNumberFormat="1" applyFont="1" applyBorder="1" applyAlignment="1">
      <alignment horizontal="center" vertical="center" wrapText="1"/>
    </xf>
    <xf numFmtId="2" fontId="81" fillId="0" borderId="30" xfId="0" applyNumberFormat="1" applyFont="1" applyBorder="1" applyAlignment="1">
      <alignment horizontal="center" vertical="center" wrapText="1"/>
    </xf>
    <xf numFmtId="2" fontId="81" fillId="0" borderId="32" xfId="0" applyNumberFormat="1" applyFont="1" applyBorder="1" applyAlignment="1">
      <alignment horizontal="center" vertical="center" wrapText="1"/>
    </xf>
    <xf numFmtId="0" fontId="66" fillId="0" borderId="0" xfId="0" applyFont="1"/>
    <xf numFmtId="0" fontId="66" fillId="0" borderId="0" xfId="0" applyFont="1" applyAlignment="1">
      <alignment vertical="center"/>
    </xf>
    <xf numFmtId="0" fontId="56" fillId="0" borderId="0" xfId="0" applyFont="1" applyFill="1" applyBorder="1" applyAlignment="1">
      <alignment horizontal="center" vertical="center" wrapText="1"/>
    </xf>
    <xf numFmtId="0" fontId="66" fillId="0" borderId="0" xfId="0" applyFont="1" applyFill="1" applyAlignment="1">
      <alignment horizontal="center" vertical="center" wrapText="1"/>
    </xf>
    <xf numFmtId="2" fontId="67" fillId="0" borderId="4" xfId="0" applyNumberFormat="1" applyFont="1" applyBorder="1" applyAlignment="1">
      <alignment horizontal="center" vertical="center"/>
    </xf>
    <xf numFmtId="2" fontId="67" fillId="0" borderId="0" xfId="0" applyNumberFormat="1" applyFont="1" applyBorder="1" applyAlignment="1">
      <alignment horizontal="center" vertical="center"/>
    </xf>
    <xf numFmtId="2" fontId="67" fillId="0" borderId="7" xfId="0" applyNumberFormat="1" applyFont="1" applyBorder="1" applyAlignment="1">
      <alignment horizontal="center" vertical="center"/>
    </xf>
    <xf numFmtId="2" fontId="67" fillId="0" borderId="6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2" fontId="67" fillId="0" borderId="41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2" fontId="66" fillId="0" borderId="0" xfId="0" applyNumberFormat="1" applyFont="1" applyAlignment="1">
      <alignment horizontal="center" vertical="center"/>
    </xf>
    <xf numFmtId="0" fontId="56" fillId="0" borderId="24" xfId="0" applyFont="1" applyFill="1" applyBorder="1" applyAlignment="1">
      <alignment horizontal="center" vertical="center" wrapText="1"/>
    </xf>
    <xf numFmtId="0" fontId="66" fillId="0" borderId="24" xfId="0" applyFont="1" applyFill="1" applyBorder="1" applyAlignment="1">
      <alignment horizontal="center" vertical="center" wrapText="1"/>
    </xf>
    <xf numFmtId="2" fontId="67" fillId="0" borderId="28" xfId="0" applyNumberFormat="1" applyFont="1" applyBorder="1" applyAlignment="1">
      <alignment horizontal="center" vertical="center"/>
    </xf>
    <xf numFmtId="2" fontId="67" fillId="0" borderId="24" xfId="0" applyNumberFormat="1" applyFont="1" applyBorder="1" applyAlignment="1">
      <alignment horizontal="center" vertical="center"/>
    </xf>
    <xf numFmtId="2" fontId="67" fillId="0" borderId="27" xfId="0" applyNumberFormat="1" applyFont="1" applyBorder="1" applyAlignment="1">
      <alignment horizontal="center" vertical="center"/>
    </xf>
    <xf numFmtId="2" fontId="67" fillId="0" borderId="62" xfId="0" applyNumberFormat="1" applyFont="1" applyBorder="1" applyAlignment="1">
      <alignment horizontal="center" vertical="center"/>
    </xf>
    <xf numFmtId="0" fontId="56" fillId="0" borderId="0" xfId="0" applyFont="1" applyAlignment="1">
      <alignment vertical="center"/>
    </xf>
    <xf numFmtId="49" fontId="83" fillId="0" borderId="1" xfId="0" applyNumberFormat="1" applyFont="1" applyBorder="1" applyAlignment="1">
      <alignment vertical="center"/>
    </xf>
    <xf numFmtId="2" fontId="66" fillId="0" borderId="54" xfId="0" applyNumberFormat="1" applyFont="1" applyBorder="1" applyAlignment="1">
      <alignment vertical="center"/>
    </xf>
    <xf numFmtId="2" fontId="66" fillId="0" borderId="55" xfId="0" applyNumberFormat="1" applyFont="1" applyBorder="1" applyAlignment="1">
      <alignment vertical="center"/>
    </xf>
    <xf numFmtId="0" fontId="83" fillId="0" borderId="3" xfId="0" applyFont="1" applyBorder="1" applyAlignment="1">
      <alignment vertical="center"/>
    </xf>
    <xf numFmtId="0" fontId="84" fillId="0" borderId="0" xfId="0" applyFont="1" applyAlignment="1">
      <alignment vertical="center"/>
    </xf>
    <xf numFmtId="11" fontId="56" fillId="0" borderId="0" xfId="0" applyNumberFormat="1" applyFont="1" applyAlignment="1">
      <alignment vertical="center"/>
    </xf>
    <xf numFmtId="0" fontId="56" fillId="0" borderId="6" xfId="0" applyFont="1" applyBorder="1" applyAlignment="1">
      <alignment vertical="center"/>
    </xf>
    <xf numFmtId="2" fontId="66" fillId="0" borderId="39" xfId="0" applyNumberFormat="1" applyFont="1" applyBorder="1" applyAlignment="1">
      <alignment vertical="center"/>
    </xf>
    <xf numFmtId="2" fontId="66" fillId="0" borderId="56" xfId="0" applyNumberFormat="1" applyFont="1" applyBorder="1" applyAlignment="1">
      <alignment vertical="center"/>
    </xf>
    <xf numFmtId="0" fontId="56" fillId="0" borderId="5" xfId="0" applyFont="1" applyBorder="1" applyAlignment="1">
      <alignment vertical="center"/>
    </xf>
    <xf numFmtId="0" fontId="83" fillId="0" borderId="0" xfId="0" applyFont="1" applyAlignment="1">
      <alignment vertical="center"/>
    </xf>
    <xf numFmtId="49" fontId="84" fillId="0" borderId="6" xfId="0" applyNumberFormat="1" applyFont="1" applyBorder="1" applyAlignment="1">
      <alignment vertical="center"/>
    </xf>
    <xf numFmtId="0" fontId="83" fillId="0" borderId="5" xfId="0" applyFont="1" applyBorder="1" applyAlignment="1">
      <alignment vertical="center"/>
    </xf>
    <xf numFmtId="2" fontId="66" fillId="0" borderId="0" xfId="0" applyNumberFormat="1" applyFont="1" applyBorder="1" applyAlignment="1">
      <alignment horizontal="center" vertical="center"/>
    </xf>
    <xf numFmtId="0" fontId="84" fillId="0" borderId="5" xfId="0" applyFont="1" applyBorder="1" applyAlignment="1">
      <alignment vertical="center"/>
    </xf>
    <xf numFmtId="0" fontId="66" fillId="0" borderId="0" xfId="0" applyFont="1" applyFill="1" applyBorder="1" applyAlignment="1">
      <alignment horizontal="center" vertical="center" wrapText="1"/>
    </xf>
    <xf numFmtId="49" fontId="83" fillId="0" borderId="23" xfId="0" applyNumberFormat="1" applyFont="1" applyBorder="1" applyAlignment="1">
      <alignment vertical="center"/>
    </xf>
    <xf numFmtId="2" fontId="66" fillId="0" borderId="57" xfId="0" applyNumberFormat="1" applyFont="1" applyBorder="1" applyAlignment="1">
      <alignment vertical="center"/>
    </xf>
    <xf numFmtId="2" fontId="66" fillId="0" borderId="58" xfId="0" applyNumberFormat="1" applyFont="1" applyBorder="1" applyAlignment="1">
      <alignment vertical="center"/>
    </xf>
    <xf numFmtId="0" fontId="83" fillId="0" borderId="25" xfId="0" applyFont="1" applyBorder="1" applyAlignment="1">
      <alignment vertical="center"/>
    </xf>
    <xf numFmtId="0" fontId="66" fillId="0" borderId="12" xfId="0" applyFont="1" applyFill="1" applyBorder="1" applyAlignment="1">
      <alignment horizontal="center" vertical="center" wrapText="1"/>
    </xf>
    <xf numFmtId="2" fontId="67" fillId="0" borderId="13" xfId="0" applyNumberFormat="1" applyFont="1" applyBorder="1" applyAlignment="1">
      <alignment horizontal="center" vertical="center"/>
    </xf>
    <xf numFmtId="2" fontId="67" fillId="0" borderId="12" xfId="0" applyNumberFormat="1" applyFont="1" applyBorder="1" applyAlignment="1">
      <alignment horizontal="center" vertical="center"/>
    </xf>
    <xf numFmtId="2" fontId="67" fillId="0" borderId="16" xfId="0" applyNumberFormat="1" applyFont="1" applyBorder="1" applyAlignment="1">
      <alignment horizontal="center" vertical="center"/>
    </xf>
    <xf numFmtId="2" fontId="67" fillId="0" borderId="63" xfId="0" applyNumberFormat="1" applyFont="1" applyBorder="1" applyAlignment="1">
      <alignment horizontal="center" vertical="center"/>
    </xf>
    <xf numFmtId="2" fontId="85" fillId="0" borderId="41" xfId="0" applyNumberFormat="1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center" vertical="center" wrapText="1"/>
    </xf>
    <xf numFmtId="2" fontId="67" fillId="0" borderId="18" xfId="0" applyNumberFormat="1" applyFont="1" applyBorder="1" applyAlignment="1">
      <alignment horizontal="center" vertical="center"/>
    </xf>
    <xf numFmtId="2" fontId="67" fillId="0" borderId="2" xfId="0" applyNumberFormat="1" applyFont="1" applyBorder="1" applyAlignment="1">
      <alignment horizontal="center" vertical="center"/>
    </xf>
    <xf numFmtId="2" fontId="67" fillId="0" borderId="17" xfId="0" applyNumberFormat="1" applyFont="1" applyBorder="1" applyAlignment="1">
      <alignment horizontal="center" vertical="center"/>
    </xf>
    <xf numFmtId="0" fontId="86" fillId="0" borderId="7" xfId="0" applyFont="1" applyFill="1" applyBorder="1" applyAlignment="1">
      <alignment horizontal="center" vertical="center" wrapText="1"/>
    </xf>
    <xf numFmtId="0" fontId="87" fillId="0" borderId="2" xfId="0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 wrapText="1"/>
    </xf>
    <xf numFmtId="0" fontId="87" fillId="0" borderId="24" xfId="0" applyFont="1" applyFill="1" applyBorder="1" applyAlignment="1">
      <alignment horizontal="center" vertical="center" wrapText="1"/>
    </xf>
    <xf numFmtId="2" fontId="85" fillId="0" borderId="63" xfId="0" applyNumberFormat="1" applyFont="1" applyBorder="1" applyAlignment="1">
      <alignment horizontal="center" vertical="center"/>
    </xf>
    <xf numFmtId="0" fontId="56" fillId="0" borderId="19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2" fontId="67" fillId="0" borderId="20" xfId="0" applyNumberFormat="1" applyFont="1" applyBorder="1" applyAlignment="1">
      <alignment horizontal="center" vertical="center"/>
    </xf>
    <xf numFmtId="2" fontId="67" fillId="0" borderId="19" xfId="0" applyNumberFormat="1" applyFont="1" applyBorder="1" applyAlignment="1">
      <alignment horizontal="center" vertical="center"/>
    </xf>
    <xf numFmtId="2" fontId="67" fillId="0" borderId="26" xfId="0" applyNumberFormat="1" applyFont="1" applyBorder="1" applyAlignment="1">
      <alignment horizontal="center" vertical="center"/>
    </xf>
    <xf numFmtId="2" fontId="67" fillId="0" borderId="42" xfId="0" applyNumberFormat="1" applyFont="1" applyBorder="1" applyAlignment="1">
      <alignment horizontal="center" vertical="center"/>
    </xf>
    <xf numFmtId="0" fontId="88" fillId="0" borderId="0" xfId="0" applyFont="1" applyFill="1" applyBorder="1" applyAlignment="1"/>
    <xf numFmtId="164" fontId="75" fillId="0" borderId="34" xfId="0" applyNumberFormat="1" applyFont="1" applyFill="1" applyBorder="1" applyAlignment="1">
      <alignment horizontal="right" vertical="center" wrapText="1"/>
    </xf>
    <xf numFmtId="164" fontId="75" fillId="0" borderId="33" xfId="0" applyNumberFormat="1" applyFont="1" applyFill="1" applyBorder="1" applyAlignment="1">
      <alignment horizontal="right" vertical="center" wrapText="1"/>
    </xf>
    <xf numFmtId="164" fontId="75" fillId="0" borderId="35" xfId="0" applyNumberFormat="1" applyFont="1" applyFill="1" applyBorder="1" applyAlignment="1">
      <alignment horizontal="right" vertical="center"/>
    </xf>
    <xf numFmtId="0" fontId="63" fillId="0" borderId="14" xfId="0" applyFont="1" applyFill="1" applyBorder="1" applyAlignment="1">
      <alignment horizontal="center" vertical="center" wrapText="1"/>
    </xf>
    <xf numFmtId="0" fontId="63" fillId="0" borderId="33" xfId="0" applyFont="1" applyFill="1" applyBorder="1" applyAlignment="1">
      <alignment horizontal="center" vertical="center"/>
    </xf>
    <xf numFmtId="0" fontId="63" fillId="0" borderId="35" xfId="0" applyFont="1" applyFill="1" applyBorder="1" applyAlignment="1">
      <alignment horizontal="center" vertical="center"/>
    </xf>
    <xf numFmtId="2" fontId="74" fillId="0" borderId="1" xfId="0" applyNumberFormat="1" applyFont="1" applyBorder="1" applyAlignment="1">
      <alignment vertical="center"/>
    </xf>
    <xf numFmtId="2" fontId="74" fillId="0" borderId="2" xfId="0" applyNumberFormat="1" applyFont="1" applyBorder="1" applyAlignment="1">
      <alignment vertical="center"/>
    </xf>
    <xf numFmtId="2" fontId="74" fillId="0" borderId="3" xfId="0" applyNumberFormat="1" applyFont="1" applyBorder="1" applyAlignment="1">
      <alignment vertical="center"/>
    </xf>
    <xf numFmtId="2" fontId="74" fillId="0" borderId="6" xfId="0" applyNumberFormat="1" applyFont="1" applyBorder="1" applyAlignment="1">
      <alignment vertical="center"/>
    </xf>
    <xf numFmtId="2" fontId="74" fillId="0" borderId="0" xfId="0" applyNumberFormat="1" applyFont="1" applyBorder="1" applyAlignment="1">
      <alignment vertical="center"/>
    </xf>
    <xf numFmtId="2" fontId="74" fillId="0" borderId="5" xfId="0" applyNumberFormat="1" applyFont="1" applyBorder="1" applyAlignment="1">
      <alignment vertical="center"/>
    </xf>
    <xf numFmtId="2" fontId="74" fillId="0" borderId="23" xfId="0" applyNumberFormat="1" applyFont="1" applyBorder="1" applyAlignment="1">
      <alignment vertical="center"/>
    </xf>
    <xf numFmtId="2" fontId="74" fillId="0" borderId="24" xfId="0" applyNumberFormat="1" applyFont="1" applyBorder="1" applyAlignment="1">
      <alignment vertical="center"/>
    </xf>
    <xf numFmtId="2" fontId="63" fillId="0" borderId="25" xfId="0" applyNumberFormat="1" applyFont="1" applyBorder="1" applyAlignment="1">
      <alignment vertical="center"/>
    </xf>
    <xf numFmtId="0" fontId="89" fillId="0" borderId="0" xfId="0" applyFont="1" applyFill="1" applyBorder="1" applyAlignment="1">
      <alignment horizontal="left" vertical="center" wrapText="1"/>
    </xf>
    <xf numFmtId="164" fontId="77" fillId="0" borderId="0" xfId="0" applyNumberFormat="1" applyFont="1" applyBorder="1" applyAlignment="1">
      <alignment vertical="center" wrapText="1"/>
    </xf>
    <xf numFmtId="164" fontId="77" fillId="0" borderId="5" xfId="0" applyNumberFormat="1" applyFont="1" applyBorder="1" applyAlignment="1">
      <alignment vertical="center" wrapText="1"/>
    </xf>
    <xf numFmtId="2" fontId="67" fillId="0" borderId="41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9" fillId="0" borderId="12" xfId="11" applyFont="1" applyFill="1" applyBorder="1" applyAlignment="1">
      <alignment horizontal="left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25" xfId="0" applyNumberFormat="1" applyFont="1" applyFill="1" applyBorder="1" applyAlignment="1" applyProtection="1">
      <alignment horizontal="center" vertical="center" wrapText="1"/>
    </xf>
    <xf numFmtId="0" fontId="64" fillId="0" borderId="15" xfId="0" applyFont="1" applyFill="1" applyBorder="1" applyAlignment="1">
      <alignment horizontal="center" vertical="center" wrapText="1"/>
    </xf>
    <xf numFmtId="0" fontId="9" fillId="0" borderId="8" xfId="11" applyFont="1" applyBorder="1" applyAlignment="1">
      <alignment horizontal="center" vertical="center" wrapText="1"/>
    </xf>
    <xf numFmtId="0" fontId="9" fillId="0" borderId="9" xfId="11" applyFont="1" applyBorder="1" applyAlignment="1">
      <alignment horizontal="center" vertical="center" wrapText="1"/>
    </xf>
    <xf numFmtId="0" fontId="9" fillId="0" borderId="10" xfId="11" applyFont="1" applyBorder="1" applyAlignment="1">
      <alignment horizontal="center" vertical="center" wrapText="1"/>
    </xf>
    <xf numFmtId="0" fontId="15" fillId="0" borderId="0" xfId="11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4" fillId="7" borderId="24" xfId="0" applyFont="1" applyFill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0" fontId="14" fillId="7" borderId="12" xfId="0" applyFont="1" applyFill="1" applyBorder="1" applyAlignment="1">
      <alignment horizontal="center" vertical="center" wrapText="1"/>
    </xf>
    <xf numFmtId="0" fontId="14" fillId="7" borderId="0" xfId="0" applyFont="1" applyFill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52" fillId="0" borderId="48" xfId="0" applyFont="1" applyFill="1" applyBorder="1" applyAlignment="1">
      <alignment horizontal="center" vertical="center" wrapText="1"/>
    </xf>
    <xf numFmtId="0" fontId="52" fillId="0" borderId="49" xfId="0" applyFont="1" applyFill="1" applyBorder="1" applyAlignment="1">
      <alignment horizontal="center" vertical="center" wrapText="1"/>
    </xf>
    <xf numFmtId="0" fontId="52" fillId="0" borderId="50" xfId="0" applyFont="1" applyFill="1" applyBorder="1" applyAlignment="1">
      <alignment horizontal="center" vertical="center" wrapText="1"/>
    </xf>
    <xf numFmtId="0" fontId="52" fillId="0" borderId="48" xfId="0" applyFont="1" applyBorder="1" applyAlignment="1">
      <alignment horizontal="center" vertical="center" wrapText="1"/>
    </xf>
    <xf numFmtId="0" fontId="52" fillId="0" borderId="49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 wrapText="1"/>
    </xf>
    <xf numFmtId="0" fontId="64" fillId="0" borderId="3" xfId="0" applyFont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31" fillId="6" borderId="8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31" fillId="6" borderId="10" xfId="0" applyFont="1" applyFill="1" applyBorder="1" applyAlignment="1">
      <alignment horizontal="center" vertical="center" wrapText="1"/>
    </xf>
    <xf numFmtId="0" fontId="4" fillId="4" borderId="59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 wrapText="1"/>
    </xf>
    <xf numFmtId="0" fontId="70" fillId="0" borderId="12" xfId="0" applyFont="1" applyBorder="1" applyAlignment="1">
      <alignment horizontal="center" vertical="center" wrapText="1"/>
    </xf>
    <xf numFmtId="0" fontId="64" fillId="0" borderId="14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left" vertical="center"/>
    </xf>
  </cellXfs>
  <cellStyles count="12">
    <cellStyle name="CenteredCell" xfId="1" xr:uid="{00000000-0005-0000-0000-000000000000}"/>
    <cellStyle name="MoleculePictureCell" xfId="2" xr:uid="{00000000-0005-0000-0000-000001000000}"/>
    <cellStyle name="Normal" xfId="0" builtinId="0"/>
    <cellStyle name="Normal 2" xfId="3" xr:uid="{00000000-0005-0000-0000-000003000000}"/>
    <cellStyle name="Normal 2 2" xfId="4" xr:uid="{00000000-0005-0000-0000-000004000000}"/>
    <cellStyle name="Normal 3" xfId="5" xr:uid="{00000000-0005-0000-0000-000005000000}"/>
    <cellStyle name="Normal 4" xfId="6" xr:uid="{00000000-0005-0000-0000-000006000000}"/>
    <cellStyle name="Normal 4 2" xfId="7" xr:uid="{00000000-0005-0000-0000-000007000000}"/>
    <cellStyle name="Normal 5" xfId="8" xr:uid="{00000000-0005-0000-0000-000008000000}"/>
    <cellStyle name="Normal 6" xfId="11" xr:uid="{00000000-0005-0000-0000-000009000000}"/>
    <cellStyle name="Style 1" xfId="9" xr:uid="{00000000-0005-0000-0000-00000A000000}"/>
    <cellStyle name="常规_Sheet1" xfId="10" xr:uid="{00000000-0005-0000-0000-00000B000000}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63BE7B"/>
        </patternFill>
      </fill>
    </dxf>
    <dxf>
      <fill>
        <patternFill>
          <bgColor rgb="FFF8696B"/>
        </patternFill>
      </fill>
    </dxf>
    <dxf>
      <fill>
        <patternFill>
          <bgColor rgb="FF63BE7B"/>
        </patternFill>
      </fill>
    </dxf>
    <dxf>
      <fill>
        <patternFill>
          <bgColor rgb="FFF8696B"/>
        </patternFill>
      </fill>
    </dxf>
  </dxfs>
  <tableStyles count="0" defaultTableStyle="TableStyleMedium2" defaultPivotStyle="PivotStyleLight16"/>
  <colors>
    <mruColors>
      <color rgb="FFFF4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99" Type="http://schemas.openxmlformats.org/officeDocument/2006/relationships/image" Target="../media/image299.emf"/><Relationship Id="rId21" Type="http://schemas.openxmlformats.org/officeDocument/2006/relationships/image" Target="../media/image21.emf"/><Relationship Id="rId63" Type="http://schemas.openxmlformats.org/officeDocument/2006/relationships/image" Target="../media/image63.emf"/><Relationship Id="rId159" Type="http://schemas.openxmlformats.org/officeDocument/2006/relationships/image" Target="../media/image159.emf"/><Relationship Id="rId324" Type="http://schemas.openxmlformats.org/officeDocument/2006/relationships/image" Target="../media/image324.emf"/><Relationship Id="rId366" Type="http://schemas.openxmlformats.org/officeDocument/2006/relationships/image" Target="../media/image366.emf"/><Relationship Id="rId170" Type="http://schemas.openxmlformats.org/officeDocument/2006/relationships/image" Target="../media/image170.emf"/><Relationship Id="rId226" Type="http://schemas.openxmlformats.org/officeDocument/2006/relationships/image" Target="../media/image226.emf"/><Relationship Id="rId107" Type="http://schemas.openxmlformats.org/officeDocument/2006/relationships/image" Target="../media/image107.emf"/><Relationship Id="rId268" Type="http://schemas.openxmlformats.org/officeDocument/2006/relationships/image" Target="../media/image268.emf"/><Relationship Id="rId289" Type="http://schemas.openxmlformats.org/officeDocument/2006/relationships/image" Target="../media/image289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53" Type="http://schemas.openxmlformats.org/officeDocument/2006/relationships/image" Target="../media/image53.emf"/><Relationship Id="rId74" Type="http://schemas.openxmlformats.org/officeDocument/2006/relationships/image" Target="../media/image74.emf"/><Relationship Id="rId128" Type="http://schemas.openxmlformats.org/officeDocument/2006/relationships/image" Target="../media/image128.emf"/><Relationship Id="rId149" Type="http://schemas.openxmlformats.org/officeDocument/2006/relationships/image" Target="../media/image149.emf"/><Relationship Id="rId314" Type="http://schemas.openxmlformats.org/officeDocument/2006/relationships/image" Target="../media/image314.emf"/><Relationship Id="rId335" Type="http://schemas.openxmlformats.org/officeDocument/2006/relationships/image" Target="../media/image335.emf"/><Relationship Id="rId356" Type="http://schemas.openxmlformats.org/officeDocument/2006/relationships/image" Target="../media/image356.emf"/><Relationship Id="rId377" Type="http://schemas.openxmlformats.org/officeDocument/2006/relationships/image" Target="../media/image377.emf"/><Relationship Id="rId398" Type="http://schemas.openxmlformats.org/officeDocument/2006/relationships/image" Target="../media/image398.emf"/><Relationship Id="rId5" Type="http://schemas.openxmlformats.org/officeDocument/2006/relationships/image" Target="../media/image5.emf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181" Type="http://schemas.openxmlformats.org/officeDocument/2006/relationships/image" Target="../media/image181.emf"/><Relationship Id="rId216" Type="http://schemas.openxmlformats.org/officeDocument/2006/relationships/image" Target="../media/image216.emf"/><Relationship Id="rId237" Type="http://schemas.openxmlformats.org/officeDocument/2006/relationships/image" Target="../media/image237.emf"/><Relationship Id="rId258" Type="http://schemas.openxmlformats.org/officeDocument/2006/relationships/image" Target="../media/image258.emf"/><Relationship Id="rId279" Type="http://schemas.openxmlformats.org/officeDocument/2006/relationships/image" Target="../media/image279.emf"/><Relationship Id="rId22" Type="http://schemas.openxmlformats.org/officeDocument/2006/relationships/image" Target="../media/image22.emf"/><Relationship Id="rId43" Type="http://schemas.openxmlformats.org/officeDocument/2006/relationships/image" Target="../media/image43.emf"/><Relationship Id="rId64" Type="http://schemas.openxmlformats.org/officeDocument/2006/relationships/image" Target="../media/image64.emf"/><Relationship Id="rId118" Type="http://schemas.openxmlformats.org/officeDocument/2006/relationships/image" Target="../media/image118.emf"/><Relationship Id="rId139" Type="http://schemas.openxmlformats.org/officeDocument/2006/relationships/image" Target="../media/image139.emf"/><Relationship Id="rId290" Type="http://schemas.openxmlformats.org/officeDocument/2006/relationships/image" Target="../media/image290.emf"/><Relationship Id="rId304" Type="http://schemas.openxmlformats.org/officeDocument/2006/relationships/image" Target="../media/image304.emf"/><Relationship Id="rId325" Type="http://schemas.openxmlformats.org/officeDocument/2006/relationships/image" Target="../media/image325.emf"/><Relationship Id="rId346" Type="http://schemas.openxmlformats.org/officeDocument/2006/relationships/image" Target="../media/image346.emf"/><Relationship Id="rId367" Type="http://schemas.openxmlformats.org/officeDocument/2006/relationships/image" Target="../media/image367.emf"/><Relationship Id="rId388" Type="http://schemas.openxmlformats.org/officeDocument/2006/relationships/image" Target="../media/image388.emf"/><Relationship Id="rId85" Type="http://schemas.openxmlformats.org/officeDocument/2006/relationships/image" Target="../media/image85.emf"/><Relationship Id="rId150" Type="http://schemas.openxmlformats.org/officeDocument/2006/relationships/image" Target="../media/image150.emf"/><Relationship Id="rId171" Type="http://schemas.openxmlformats.org/officeDocument/2006/relationships/image" Target="../media/image171.emf"/><Relationship Id="rId192" Type="http://schemas.openxmlformats.org/officeDocument/2006/relationships/image" Target="../media/image192.emf"/><Relationship Id="rId206" Type="http://schemas.openxmlformats.org/officeDocument/2006/relationships/image" Target="../media/image206.emf"/><Relationship Id="rId227" Type="http://schemas.openxmlformats.org/officeDocument/2006/relationships/image" Target="../media/image227.emf"/><Relationship Id="rId248" Type="http://schemas.openxmlformats.org/officeDocument/2006/relationships/image" Target="../media/image248.emf"/><Relationship Id="rId269" Type="http://schemas.openxmlformats.org/officeDocument/2006/relationships/image" Target="../media/image269.emf"/><Relationship Id="rId12" Type="http://schemas.openxmlformats.org/officeDocument/2006/relationships/image" Target="../media/image12.emf"/><Relationship Id="rId33" Type="http://schemas.openxmlformats.org/officeDocument/2006/relationships/image" Target="../media/image33.emf"/><Relationship Id="rId108" Type="http://schemas.openxmlformats.org/officeDocument/2006/relationships/image" Target="../media/image108.emf"/><Relationship Id="rId129" Type="http://schemas.openxmlformats.org/officeDocument/2006/relationships/image" Target="../media/image129.emf"/><Relationship Id="rId280" Type="http://schemas.openxmlformats.org/officeDocument/2006/relationships/image" Target="../media/image280.emf"/><Relationship Id="rId315" Type="http://schemas.openxmlformats.org/officeDocument/2006/relationships/image" Target="../media/image315.emf"/><Relationship Id="rId336" Type="http://schemas.openxmlformats.org/officeDocument/2006/relationships/image" Target="../media/image336.emf"/><Relationship Id="rId357" Type="http://schemas.openxmlformats.org/officeDocument/2006/relationships/image" Target="../media/image357.emf"/><Relationship Id="rId54" Type="http://schemas.openxmlformats.org/officeDocument/2006/relationships/image" Target="../media/image54.emf"/><Relationship Id="rId75" Type="http://schemas.openxmlformats.org/officeDocument/2006/relationships/image" Target="../media/image75.emf"/><Relationship Id="rId96" Type="http://schemas.openxmlformats.org/officeDocument/2006/relationships/image" Target="../media/image96.emf"/><Relationship Id="rId140" Type="http://schemas.openxmlformats.org/officeDocument/2006/relationships/image" Target="../media/image140.emf"/><Relationship Id="rId161" Type="http://schemas.openxmlformats.org/officeDocument/2006/relationships/image" Target="../media/image161.emf"/><Relationship Id="rId182" Type="http://schemas.openxmlformats.org/officeDocument/2006/relationships/image" Target="../media/image182.emf"/><Relationship Id="rId217" Type="http://schemas.openxmlformats.org/officeDocument/2006/relationships/image" Target="../media/image217.emf"/><Relationship Id="rId378" Type="http://schemas.openxmlformats.org/officeDocument/2006/relationships/image" Target="../media/image378.emf"/><Relationship Id="rId6" Type="http://schemas.openxmlformats.org/officeDocument/2006/relationships/image" Target="../media/image6.emf"/><Relationship Id="rId238" Type="http://schemas.openxmlformats.org/officeDocument/2006/relationships/image" Target="../media/image238.emf"/><Relationship Id="rId259" Type="http://schemas.openxmlformats.org/officeDocument/2006/relationships/image" Target="../media/image259.emf"/><Relationship Id="rId23" Type="http://schemas.openxmlformats.org/officeDocument/2006/relationships/image" Target="../media/image23.emf"/><Relationship Id="rId119" Type="http://schemas.openxmlformats.org/officeDocument/2006/relationships/image" Target="../media/image119.emf"/><Relationship Id="rId270" Type="http://schemas.openxmlformats.org/officeDocument/2006/relationships/image" Target="../media/image270.emf"/><Relationship Id="rId291" Type="http://schemas.openxmlformats.org/officeDocument/2006/relationships/image" Target="../media/image291.emf"/><Relationship Id="rId305" Type="http://schemas.openxmlformats.org/officeDocument/2006/relationships/image" Target="../media/image305.emf"/><Relationship Id="rId326" Type="http://schemas.openxmlformats.org/officeDocument/2006/relationships/image" Target="../media/image326.emf"/><Relationship Id="rId347" Type="http://schemas.openxmlformats.org/officeDocument/2006/relationships/image" Target="../media/image347.emf"/><Relationship Id="rId44" Type="http://schemas.openxmlformats.org/officeDocument/2006/relationships/image" Target="../media/image44.emf"/><Relationship Id="rId65" Type="http://schemas.openxmlformats.org/officeDocument/2006/relationships/image" Target="../media/image65.emf"/><Relationship Id="rId86" Type="http://schemas.openxmlformats.org/officeDocument/2006/relationships/image" Target="../media/image86.emf"/><Relationship Id="rId130" Type="http://schemas.openxmlformats.org/officeDocument/2006/relationships/image" Target="../media/image130.emf"/><Relationship Id="rId151" Type="http://schemas.openxmlformats.org/officeDocument/2006/relationships/image" Target="../media/image151.emf"/><Relationship Id="rId368" Type="http://schemas.openxmlformats.org/officeDocument/2006/relationships/image" Target="../media/image368.emf"/><Relationship Id="rId389" Type="http://schemas.openxmlformats.org/officeDocument/2006/relationships/image" Target="../media/image389.emf"/><Relationship Id="rId172" Type="http://schemas.openxmlformats.org/officeDocument/2006/relationships/image" Target="../media/image172.emf"/><Relationship Id="rId193" Type="http://schemas.openxmlformats.org/officeDocument/2006/relationships/image" Target="../media/image193.emf"/><Relationship Id="rId207" Type="http://schemas.openxmlformats.org/officeDocument/2006/relationships/image" Target="../media/image207.emf"/><Relationship Id="rId228" Type="http://schemas.openxmlformats.org/officeDocument/2006/relationships/image" Target="../media/image228.emf"/><Relationship Id="rId249" Type="http://schemas.openxmlformats.org/officeDocument/2006/relationships/image" Target="../media/image249.emf"/><Relationship Id="rId13" Type="http://schemas.openxmlformats.org/officeDocument/2006/relationships/image" Target="../media/image13.emf"/><Relationship Id="rId109" Type="http://schemas.openxmlformats.org/officeDocument/2006/relationships/image" Target="../media/image109.emf"/><Relationship Id="rId260" Type="http://schemas.openxmlformats.org/officeDocument/2006/relationships/image" Target="../media/image260.emf"/><Relationship Id="rId281" Type="http://schemas.openxmlformats.org/officeDocument/2006/relationships/image" Target="../media/image281.emf"/><Relationship Id="rId316" Type="http://schemas.openxmlformats.org/officeDocument/2006/relationships/image" Target="../media/image316.emf"/><Relationship Id="rId337" Type="http://schemas.openxmlformats.org/officeDocument/2006/relationships/image" Target="../media/image337.emf"/><Relationship Id="rId34" Type="http://schemas.openxmlformats.org/officeDocument/2006/relationships/image" Target="../media/image34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20" Type="http://schemas.openxmlformats.org/officeDocument/2006/relationships/image" Target="../media/image120.emf"/><Relationship Id="rId141" Type="http://schemas.openxmlformats.org/officeDocument/2006/relationships/image" Target="../media/image141.emf"/><Relationship Id="rId358" Type="http://schemas.openxmlformats.org/officeDocument/2006/relationships/image" Target="../media/image358.emf"/><Relationship Id="rId379" Type="http://schemas.openxmlformats.org/officeDocument/2006/relationships/image" Target="../media/image379.emf"/><Relationship Id="rId7" Type="http://schemas.openxmlformats.org/officeDocument/2006/relationships/image" Target="../media/image7.emf"/><Relationship Id="rId162" Type="http://schemas.openxmlformats.org/officeDocument/2006/relationships/image" Target="../media/image162.emf"/><Relationship Id="rId183" Type="http://schemas.openxmlformats.org/officeDocument/2006/relationships/image" Target="../media/image183.emf"/><Relationship Id="rId218" Type="http://schemas.openxmlformats.org/officeDocument/2006/relationships/image" Target="../media/image218.emf"/><Relationship Id="rId239" Type="http://schemas.openxmlformats.org/officeDocument/2006/relationships/image" Target="../media/image239.emf"/><Relationship Id="rId390" Type="http://schemas.openxmlformats.org/officeDocument/2006/relationships/image" Target="../media/image390.emf"/><Relationship Id="rId250" Type="http://schemas.openxmlformats.org/officeDocument/2006/relationships/image" Target="../media/image250.emf"/><Relationship Id="rId271" Type="http://schemas.openxmlformats.org/officeDocument/2006/relationships/image" Target="../media/image271.emf"/><Relationship Id="rId292" Type="http://schemas.openxmlformats.org/officeDocument/2006/relationships/image" Target="../media/image292.emf"/><Relationship Id="rId306" Type="http://schemas.openxmlformats.org/officeDocument/2006/relationships/image" Target="../media/image306.emf"/><Relationship Id="rId24" Type="http://schemas.openxmlformats.org/officeDocument/2006/relationships/image" Target="../media/image24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31" Type="http://schemas.openxmlformats.org/officeDocument/2006/relationships/image" Target="../media/image131.emf"/><Relationship Id="rId327" Type="http://schemas.openxmlformats.org/officeDocument/2006/relationships/image" Target="../media/image327.emf"/><Relationship Id="rId348" Type="http://schemas.openxmlformats.org/officeDocument/2006/relationships/image" Target="../media/image348.emf"/><Relationship Id="rId369" Type="http://schemas.openxmlformats.org/officeDocument/2006/relationships/image" Target="../media/image369.emf"/><Relationship Id="rId152" Type="http://schemas.openxmlformats.org/officeDocument/2006/relationships/image" Target="../media/image152.emf"/><Relationship Id="rId173" Type="http://schemas.openxmlformats.org/officeDocument/2006/relationships/image" Target="../media/image173.emf"/><Relationship Id="rId194" Type="http://schemas.openxmlformats.org/officeDocument/2006/relationships/image" Target="../media/image194.emf"/><Relationship Id="rId208" Type="http://schemas.openxmlformats.org/officeDocument/2006/relationships/image" Target="../media/image208.emf"/><Relationship Id="rId229" Type="http://schemas.openxmlformats.org/officeDocument/2006/relationships/image" Target="../media/image229.emf"/><Relationship Id="rId380" Type="http://schemas.openxmlformats.org/officeDocument/2006/relationships/image" Target="../media/image380.emf"/><Relationship Id="rId240" Type="http://schemas.openxmlformats.org/officeDocument/2006/relationships/image" Target="../media/image240.emf"/><Relationship Id="rId261" Type="http://schemas.openxmlformats.org/officeDocument/2006/relationships/image" Target="../media/image261.emf"/><Relationship Id="rId14" Type="http://schemas.openxmlformats.org/officeDocument/2006/relationships/image" Target="../media/image14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282" Type="http://schemas.openxmlformats.org/officeDocument/2006/relationships/image" Target="../media/image282.emf"/><Relationship Id="rId317" Type="http://schemas.openxmlformats.org/officeDocument/2006/relationships/image" Target="../media/image317.emf"/><Relationship Id="rId338" Type="http://schemas.openxmlformats.org/officeDocument/2006/relationships/image" Target="../media/image338.emf"/><Relationship Id="rId359" Type="http://schemas.openxmlformats.org/officeDocument/2006/relationships/image" Target="../media/image359.emf"/><Relationship Id="rId8" Type="http://schemas.openxmlformats.org/officeDocument/2006/relationships/image" Target="../media/image8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142" Type="http://schemas.openxmlformats.org/officeDocument/2006/relationships/image" Target="../media/image142.emf"/><Relationship Id="rId163" Type="http://schemas.openxmlformats.org/officeDocument/2006/relationships/image" Target="../media/image163.emf"/><Relationship Id="rId184" Type="http://schemas.openxmlformats.org/officeDocument/2006/relationships/image" Target="../media/image184.emf"/><Relationship Id="rId219" Type="http://schemas.openxmlformats.org/officeDocument/2006/relationships/image" Target="../media/image219.emf"/><Relationship Id="rId370" Type="http://schemas.openxmlformats.org/officeDocument/2006/relationships/image" Target="../media/image370.emf"/><Relationship Id="rId391" Type="http://schemas.openxmlformats.org/officeDocument/2006/relationships/image" Target="../media/image391.emf"/><Relationship Id="rId230" Type="http://schemas.openxmlformats.org/officeDocument/2006/relationships/image" Target="../media/image230.emf"/><Relationship Id="rId251" Type="http://schemas.openxmlformats.org/officeDocument/2006/relationships/image" Target="../media/image251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272" Type="http://schemas.openxmlformats.org/officeDocument/2006/relationships/image" Target="../media/image272.emf"/><Relationship Id="rId293" Type="http://schemas.openxmlformats.org/officeDocument/2006/relationships/image" Target="../media/image293.emf"/><Relationship Id="rId307" Type="http://schemas.openxmlformats.org/officeDocument/2006/relationships/image" Target="../media/image307.emf"/><Relationship Id="rId328" Type="http://schemas.openxmlformats.org/officeDocument/2006/relationships/image" Target="../media/image328.emf"/><Relationship Id="rId349" Type="http://schemas.openxmlformats.org/officeDocument/2006/relationships/image" Target="../media/image349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32" Type="http://schemas.openxmlformats.org/officeDocument/2006/relationships/image" Target="../media/image132.emf"/><Relationship Id="rId153" Type="http://schemas.openxmlformats.org/officeDocument/2006/relationships/image" Target="../media/image153.emf"/><Relationship Id="rId174" Type="http://schemas.openxmlformats.org/officeDocument/2006/relationships/image" Target="../media/image174.emf"/><Relationship Id="rId195" Type="http://schemas.openxmlformats.org/officeDocument/2006/relationships/image" Target="../media/image195.emf"/><Relationship Id="rId209" Type="http://schemas.openxmlformats.org/officeDocument/2006/relationships/image" Target="../media/image209.emf"/><Relationship Id="rId360" Type="http://schemas.openxmlformats.org/officeDocument/2006/relationships/image" Target="../media/image360.emf"/><Relationship Id="rId381" Type="http://schemas.openxmlformats.org/officeDocument/2006/relationships/image" Target="../media/image381.emf"/><Relationship Id="rId220" Type="http://schemas.openxmlformats.org/officeDocument/2006/relationships/image" Target="../media/image220.emf"/><Relationship Id="rId241" Type="http://schemas.openxmlformats.org/officeDocument/2006/relationships/image" Target="../media/image24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262" Type="http://schemas.openxmlformats.org/officeDocument/2006/relationships/image" Target="../media/image262.emf"/><Relationship Id="rId283" Type="http://schemas.openxmlformats.org/officeDocument/2006/relationships/image" Target="../media/image283.emf"/><Relationship Id="rId318" Type="http://schemas.openxmlformats.org/officeDocument/2006/relationships/image" Target="../media/image318.emf"/><Relationship Id="rId339" Type="http://schemas.openxmlformats.org/officeDocument/2006/relationships/image" Target="../media/image339.emf"/><Relationship Id="rId78" Type="http://schemas.openxmlformats.org/officeDocument/2006/relationships/image" Target="../media/image78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143" Type="http://schemas.openxmlformats.org/officeDocument/2006/relationships/image" Target="../media/image143.emf"/><Relationship Id="rId164" Type="http://schemas.openxmlformats.org/officeDocument/2006/relationships/image" Target="../media/image164.emf"/><Relationship Id="rId185" Type="http://schemas.openxmlformats.org/officeDocument/2006/relationships/image" Target="../media/image185.emf"/><Relationship Id="rId350" Type="http://schemas.openxmlformats.org/officeDocument/2006/relationships/image" Target="../media/image350.emf"/><Relationship Id="rId371" Type="http://schemas.openxmlformats.org/officeDocument/2006/relationships/image" Target="../media/image371.emf"/><Relationship Id="rId9" Type="http://schemas.openxmlformats.org/officeDocument/2006/relationships/image" Target="../media/image9.emf"/><Relationship Id="rId210" Type="http://schemas.openxmlformats.org/officeDocument/2006/relationships/image" Target="../media/image210.emf"/><Relationship Id="rId392" Type="http://schemas.openxmlformats.org/officeDocument/2006/relationships/image" Target="../media/image392.emf"/><Relationship Id="rId26" Type="http://schemas.openxmlformats.org/officeDocument/2006/relationships/image" Target="../media/image26.emf"/><Relationship Id="rId231" Type="http://schemas.openxmlformats.org/officeDocument/2006/relationships/image" Target="../media/image231.emf"/><Relationship Id="rId252" Type="http://schemas.openxmlformats.org/officeDocument/2006/relationships/image" Target="../media/image252.emf"/><Relationship Id="rId273" Type="http://schemas.openxmlformats.org/officeDocument/2006/relationships/image" Target="../media/image273.emf"/><Relationship Id="rId294" Type="http://schemas.openxmlformats.org/officeDocument/2006/relationships/image" Target="../media/image294.emf"/><Relationship Id="rId308" Type="http://schemas.openxmlformats.org/officeDocument/2006/relationships/image" Target="../media/image308.emf"/><Relationship Id="rId329" Type="http://schemas.openxmlformats.org/officeDocument/2006/relationships/image" Target="../media/image329.emf"/><Relationship Id="rId47" Type="http://schemas.openxmlformats.org/officeDocument/2006/relationships/image" Target="../media/image47.emf"/><Relationship Id="rId68" Type="http://schemas.openxmlformats.org/officeDocument/2006/relationships/image" Target="../media/image68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54" Type="http://schemas.openxmlformats.org/officeDocument/2006/relationships/image" Target="../media/image154.emf"/><Relationship Id="rId175" Type="http://schemas.openxmlformats.org/officeDocument/2006/relationships/image" Target="../media/image175.emf"/><Relationship Id="rId340" Type="http://schemas.openxmlformats.org/officeDocument/2006/relationships/image" Target="../media/image340.emf"/><Relationship Id="rId361" Type="http://schemas.openxmlformats.org/officeDocument/2006/relationships/image" Target="../media/image361.emf"/><Relationship Id="rId196" Type="http://schemas.openxmlformats.org/officeDocument/2006/relationships/image" Target="../media/image196.emf"/><Relationship Id="rId200" Type="http://schemas.openxmlformats.org/officeDocument/2006/relationships/image" Target="../media/image200.emf"/><Relationship Id="rId382" Type="http://schemas.openxmlformats.org/officeDocument/2006/relationships/image" Target="../media/image382.emf"/><Relationship Id="rId16" Type="http://schemas.openxmlformats.org/officeDocument/2006/relationships/image" Target="../media/image16.emf"/><Relationship Id="rId221" Type="http://schemas.openxmlformats.org/officeDocument/2006/relationships/image" Target="../media/image221.emf"/><Relationship Id="rId242" Type="http://schemas.openxmlformats.org/officeDocument/2006/relationships/image" Target="../media/image242.emf"/><Relationship Id="rId263" Type="http://schemas.openxmlformats.org/officeDocument/2006/relationships/image" Target="../media/image263.emf"/><Relationship Id="rId284" Type="http://schemas.openxmlformats.org/officeDocument/2006/relationships/image" Target="../media/image284.emf"/><Relationship Id="rId319" Type="http://schemas.openxmlformats.org/officeDocument/2006/relationships/image" Target="../media/image319.emf"/><Relationship Id="rId37" Type="http://schemas.openxmlformats.org/officeDocument/2006/relationships/image" Target="../media/image37.emf"/><Relationship Id="rId58" Type="http://schemas.openxmlformats.org/officeDocument/2006/relationships/image" Target="../media/image58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44" Type="http://schemas.openxmlformats.org/officeDocument/2006/relationships/image" Target="../media/image144.emf"/><Relationship Id="rId330" Type="http://schemas.openxmlformats.org/officeDocument/2006/relationships/image" Target="../media/image330.emf"/><Relationship Id="rId90" Type="http://schemas.openxmlformats.org/officeDocument/2006/relationships/image" Target="../media/image90.emf"/><Relationship Id="rId165" Type="http://schemas.openxmlformats.org/officeDocument/2006/relationships/image" Target="../media/image165.emf"/><Relationship Id="rId186" Type="http://schemas.openxmlformats.org/officeDocument/2006/relationships/image" Target="../media/image186.emf"/><Relationship Id="rId351" Type="http://schemas.openxmlformats.org/officeDocument/2006/relationships/image" Target="../media/image351.emf"/><Relationship Id="rId372" Type="http://schemas.openxmlformats.org/officeDocument/2006/relationships/image" Target="../media/image372.emf"/><Relationship Id="rId393" Type="http://schemas.openxmlformats.org/officeDocument/2006/relationships/image" Target="../media/image393.emf"/><Relationship Id="rId211" Type="http://schemas.openxmlformats.org/officeDocument/2006/relationships/image" Target="../media/image211.emf"/><Relationship Id="rId232" Type="http://schemas.openxmlformats.org/officeDocument/2006/relationships/image" Target="../media/image232.emf"/><Relationship Id="rId253" Type="http://schemas.openxmlformats.org/officeDocument/2006/relationships/image" Target="../media/image253.emf"/><Relationship Id="rId274" Type="http://schemas.openxmlformats.org/officeDocument/2006/relationships/image" Target="../media/image274.emf"/><Relationship Id="rId295" Type="http://schemas.openxmlformats.org/officeDocument/2006/relationships/image" Target="../media/image295.emf"/><Relationship Id="rId309" Type="http://schemas.openxmlformats.org/officeDocument/2006/relationships/image" Target="../media/image309.emf"/><Relationship Id="rId27" Type="http://schemas.openxmlformats.org/officeDocument/2006/relationships/image" Target="../media/image27.emf"/><Relationship Id="rId48" Type="http://schemas.openxmlformats.org/officeDocument/2006/relationships/image" Target="../media/image48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34" Type="http://schemas.openxmlformats.org/officeDocument/2006/relationships/image" Target="../media/image134.emf"/><Relationship Id="rId320" Type="http://schemas.openxmlformats.org/officeDocument/2006/relationships/image" Target="../media/image320.emf"/><Relationship Id="rId80" Type="http://schemas.openxmlformats.org/officeDocument/2006/relationships/image" Target="../media/image80.emf"/><Relationship Id="rId155" Type="http://schemas.openxmlformats.org/officeDocument/2006/relationships/image" Target="../media/image155.emf"/><Relationship Id="rId176" Type="http://schemas.openxmlformats.org/officeDocument/2006/relationships/image" Target="../media/image176.emf"/><Relationship Id="rId197" Type="http://schemas.openxmlformats.org/officeDocument/2006/relationships/image" Target="../media/image197.emf"/><Relationship Id="rId341" Type="http://schemas.openxmlformats.org/officeDocument/2006/relationships/image" Target="../media/image341.emf"/><Relationship Id="rId362" Type="http://schemas.openxmlformats.org/officeDocument/2006/relationships/image" Target="../media/image362.emf"/><Relationship Id="rId383" Type="http://schemas.openxmlformats.org/officeDocument/2006/relationships/image" Target="../media/image383.emf"/><Relationship Id="rId201" Type="http://schemas.openxmlformats.org/officeDocument/2006/relationships/image" Target="../media/image201.emf"/><Relationship Id="rId222" Type="http://schemas.openxmlformats.org/officeDocument/2006/relationships/image" Target="../media/image222.emf"/><Relationship Id="rId243" Type="http://schemas.openxmlformats.org/officeDocument/2006/relationships/image" Target="../media/image243.emf"/><Relationship Id="rId264" Type="http://schemas.openxmlformats.org/officeDocument/2006/relationships/image" Target="../media/image264.emf"/><Relationship Id="rId285" Type="http://schemas.openxmlformats.org/officeDocument/2006/relationships/image" Target="../media/image285.emf"/><Relationship Id="rId17" Type="http://schemas.openxmlformats.org/officeDocument/2006/relationships/image" Target="../media/image17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24" Type="http://schemas.openxmlformats.org/officeDocument/2006/relationships/image" Target="../media/image124.emf"/><Relationship Id="rId310" Type="http://schemas.openxmlformats.org/officeDocument/2006/relationships/image" Target="../media/image310.emf"/><Relationship Id="rId70" Type="http://schemas.openxmlformats.org/officeDocument/2006/relationships/image" Target="../media/image70.emf"/><Relationship Id="rId91" Type="http://schemas.openxmlformats.org/officeDocument/2006/relationships/image" Target="../media/image91.emf"/><Relationship Id="rId145" Type="http://schemas.openxmlformats.org/officeDocument/2006/relationships/image" Target="../media/image145.emf"/><Relationship Id="rId166" Type="http://schemas.openxmlformats.org/officeDocument/2006/relationships/image" Target="../media/image166.emf"/><Relationship Id="rId187" Type="http://schemas.openxmlformats.org/officeDocument/2006/relationships/image" Target="../media/image187.emf"/><Relationship Id="rId331" Type="http://schemas.openxmlformats.org/officeDocument/2006/relationships/image" Target="../media/image331.emf"/><Relationship Id="rId352" Type="http://schemas.openxmlformats.org/officeDocument/2006/relationships/image" Target="../media/image352.emf"/><Relationship Id="rId373" Type="http://schemas.openxmlformats.org/officeDocument/2006/relationships/image" Target="../media/image373.emf"/><Relationship Id="rId394" Type="http://schemas.openxmlformats.org/officeDocument/2006/relationships/image" Target="../media/image394.emf"/><Relationship Id="rId1" Type="http://schemas.openxmlformats.org/officeDocument/2006/relationships/image" Target="../media/image1.emf"/><Relationship Id="rId212" Type="http://schemas.openxmlformats.org/officeDocument/2006/relationships/image" Target="../media/image212.emf"/><Relationship Id="rId233" Type="http://schemas.openxmlformats.org/officeDocument/2006/relationships/image" Target="../media/image233.emf"/><Relationship Id="rId254" Type="http://schemas.openxmlformats.org/officeDocument/2006/relationships/image" Target="../media/image254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275" Type="http://schemas.openxmlformats.org/officeDocument/2006/relationships/image" Target="../media/image275.emf"/><Relationship Id="rId296" Type="http://schemas.openxmlformats.org/officeDocument/2006/relationships/image" Target="../media/image296.emf"/><Relationship Id="rId300" Type="http://schemas.openxmlformats.org/officeDocument/2006/relationships/image" Target="../media/image300.emf"/><Relationship Id="rId60" Type="http://schemas.openxmlformats.org/officeDocument/2006/relationships/image" Target="../media/image60.emf"/><Relationship Id="rId81" Type="http://schemas.openxmlformats.org/officeDocument/2006/relationships/image" Target="../media/image81.emf"/><Relationship Id="rId135" Type="http://schemas.openxmlformats.org/officeDocument/2006/relationships/image" Target="../media/image135.emf"/><Relationship Id="rId156" Type="http://schemas.openxmlformats.org/officeDocument/2006/relationships/image" Target="../media/image156.emf"/><Relationship Id="rId177" Type="http://schemas.openxmlformats.org/officeDocument/2006/relationships/image" Target="../media/image177.emf"/><Relationship Id="rId198" Type="http://schemas.openxmlformats.org/officeDocument/2006/relationships/image" Target="../media/image198.emf"/><Relationship Id="rId321" Type="http://schemas.openxmlformats.org/officeDocument/2006/relationships/image" Target="../media/image321.emf"/><Relationship Id="rId342" Type="http://schemas.openxmlformats.org/officeDocument/2006/relationships/image" Target="../media/image342.emf"/><Relationship Id="rId363" Type="http://schemas.openxmlformats.org/officeDocument/2006/relationships/image" Target="../media/image363.emf"/><Relationship Id="rId384" Type="http://schemas.openxmlformats.org/officeDocument/2006/relationships/image" Target="../media/image384.emf"/><Relationship Id="rId202" Type="http://schemas.openxmlformats.org/officeDocument/2006/relationships/image" Target="../media/image202.emf"/><Relationship Id="rId223" Type="http://schemas.openxmlformats.org/officeDocument/2006/relationships/image" Target="../media/image223.emf"/><Relationship Id="rId244" Type="http://schemas.openxmlformats.org/officeDocument/2006/relationships/image" Target="../media/image244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265" Type="http://schemas.openxmlformats.org/officeDocument/2006/relationships/image" Target="../media/image265.emf"/><Relationship Id="rId286" Type="http://schemas.openxmlformats.org/officeDocument/2006/relationships/image" Target="../media/image286.emf"/><Relationship Id="rId50" Type="http://schemas.openxmlformats.org/officeDocument/2006/relationships/image" Target="../media/image50.emf"/><Relationship Id="rId104" Type="http://schemas.openxmlformats.org/officeDocument/2006/relationships/image" Target="../media/image104.emf"/><Relationship Id="rId125" Type="http://schemas.openxmlformats.org/officeDocument/2006/relationships/image" Target="../media/image125.emf"/><Relationship Id="rId146" Type="http://schemas.openxmlformats.org/officeDocument/2006/relationships/image" Target="../media/image146.emf"/><Relationship Id="rId167" Type="http://schemas.openxmlformats.org/officeDocument/2006/relationships/image" Target="../media/image167.emf"/><Relationship Id="rId188" Type="http://schemas.openxmlformats.org/officeDocument/2006/relationships/image" Target="../media/image188.emf"/><Relationship Id="rId311" Type="http://schemas.openxmlformats.org/officeDocument/2006/relationships/image" Target="../media/image311.emf"/><Relationship Id="rId332" Type="http://schemas.openxmlformats.org/officeDocument/2006/relationships/image" Target="../media/image332.emf"/><Relationship Id="rId353" Type="http://schemas.openxmlformats.org/officeDocument/2006/relationships/image" Target="../media/image353.emf"/><Relationship Id="rId374" Type="http://schemas.openxmlformats.org/officeDocument/2006/relationships/image" Target="../media/image374.emf"/><Relationship Id="rId395" Type="http://schemas.openxmlformats.org/officeDocument/2006/relationships/image" Target="../media/image395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13" Type="http://schemas.openxmlformats.org/officeDocument/2006/relationships/image" Target="../media/image213.emf"/><Relationship Id="rId234" Type="http://schemas.openxmlformats.org/officeDocument/2006/relationships/image" Target="../media/image234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55" Type="http://schemas.openxmlformats.org/officeDocument/2006/relationships/image" Target="../media/image255.emf"/><Relationship Id="rId276" Type="http://schemas.openxmlformats.org/officeDocument/2006/relationships/image" Target="../media/image276.emf"/><Relationship Id="rId297" Type="http://schemas.openxmlformats.org/officeDocument/2006/relationships/image" Target="../media/image297.emf"/><Relationship Id="rId40" Type="http://schemas.openxmlformats.org/officeDocument/2006/relationships/image" Target="../media/image40.emf"/><Relationship Id="rId115" Type="http://schemas.openxmlformats.org/officeDocument/2006/relationships/image" Target="../media/image115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178" Type="http://schemas.openxmlformats.org/officeDocument/2006/relationships/image" Target="../media/image178.emf"/><Relationship Id="rId301" Type="http://schemas.openxmlformats.org/officeDocument/2006/relationships/image" Target="../media/image301.emf"/><Relationship Id="rId322" Type="http://schemas.openxmlformats.org/officeDocument/2006/relationships/image" Target="../media/image322.emf"/><Relationship Id="rId343" Type="http://schemas.openxmlformats.org/officeDocument/2006/relationships/image" Target="../media/image343.emf"/><Relationship Id="rId364" Type="http://schemas.openxmlformats.org/officeDocument/2006/relationships/image" Target="../media/image364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9" Type="http://schemas.openxmlformats.org/officeDocument/2006/relationships/image" Target="../media/image199.emf"/><Relationship Id="rId203" Type="http://schemas.openxmlformats.org/officeDocument/2006/relationships/image" Target="../media/image203.emf"/><Relationship Id="rId385" Type="http://schemas.openxmlformats.org/officeDocument/2006/relationships/image" Target="../media/image385.emf"/><Relationship Id="rId19" Type="http://schemas.openxmlformats.org/officeDocument/2006/relationships/image" Target="../media/image19.emf"/><Relationship Id="rId224" Type="http://schemas.openxmlformats.org/officeDocument/2006/relationships/image" Target="../media/image224.emf"/><Relationship Id="rId245" Type="http://schemas.openxmlformats.org/officeDocument/2006/relationships/image" Target="../media/image245.emf"/><Relationship Id="rId266" Type="http://schemas.openxmlformats.org/officeDocument/2006/relationships/image" Target="../media/image266.emf"/><Relationship Id="rId287" Type="http://schemas.openxmlformats.org/officeDocument/2006/relationships/image" Target="../media/image287.emf"/><Relationship Id="rId30" Type="http://schemas.openxmlformats.org/officeDocument/2006/relationships/image" Target="../media/image3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168" Type="http://schemas.openxmlformats.org/officeDocument/2006/relationships/image" Target="../media/image168.emf"/><Relationship Id="rId312" Type="http://schemas.openxmlformats.org/officeDocument/2006/relationships/image" Target="../media/image312.emf"/><Relationship Id="rId333" Type="http://schemas.openxmlformats.org/officeDocument/2006/relationships/image" Target="../media/image333.emf"/><Relationship Id="rId354" Type="http://schemas.openxmlformats.org/officeDocument/2006/relationships/image" Target="../media/image354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189" Type="http://schemas.openxmlformats.org/officeDocument/2006/relationships/image" Target="../media/image189.emf"/><Relationship Id="rId375" Type="http://schemas.openxmlformats.org/officeDocument/2006/relationships/image" Target="../media/image375.emf"/><Relationship Id="rId396" Type="http://schemas.openxmlformats.org/officeDocument/2006/relationships/image" Target="../media/image396.emf"/><Relationship Id="rId3" Type="http://schemas.openxmlformats.org/officeDocument/2006/relationships/image" Target="../media/image3.emf"/><Relationship Id="rId214" Type="http://schemas.openxmlformats.org/officeDocument/2006/relationships/image" Target="../media/image214.emf"/><Relationship Id="rId235" Type="http://schemas.openxmlformats.org/officeDocument/2006/relationships/image" Target="../media/image235.emf"/><Relationship Id="rId256" Type="http://schemas.openxmlformats.org/officeDocument/2006/relationships/image" Target="../media/image256.emf"/><Relationship Id="rId277" Type="http://schemas.openxmlformats.org/officeDocument/2006/relationships/image" Target="../media/image277.emf"/><Relationship Id="rId298" Type="http://schemas.openxmlformats.org/officeDocument/2006/relationships/image" Target="../media/image298.emf"/><Relationship Id="rId116" Type="http://schemas.openxmlformats.org/officeDocument/2006/relationships/image" Target="../media/image116.em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Relationship Id="rId302" Type="http://schemas.openxmlformats.org/officeDocument/2006/relationships/image" Target="../media/image302.emf"/><Relationship Id="rId323" Type="http://schemas.openxmlformats.org/officeDocument/2006/relationships/image" Target="../media/image323.emf"/><Relationship Id="rId344" Type="http://schemas.openxmlformats.org/officeDocument/2006/relationships/image" Target="../media/image344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179" Type="http://schemas.openxmlformats.org/officeDocument/2006/relationships/image" Target="../media/image179.emf"/><Relationship Id="rId365" Type="http://schemas.openxmlformats.org/officeDocument/2006/relationships/image" Target="../media/image365.emf"/><Relationship Id="rId386" Type="http://schemas.openxmlformats.org/officeDocument/2006/relationships/image" Target="../media/image386.emf"/><Relationship Id="rId190" Type="http://schemas.openxmlformats.org/officeDocument/2006/relationships/image" Target="../media/image190.emf"/><Relationship Id="rId204" Type="http://schemas.openxmlformats.org/officeDocument/2006/relationships/image" Target="../media/image204.emf"/><Relationship Id="rId225" Type="http://schemas.openxmlformats.org/officeDocument/2006/relationships/image" Target="../media/image225.emf"/><Relationship Id="rId246" Type="http://schemas.openxmlformats.org/officeDocument/2006/relationships/image" Target="../media/image246.emf"/><Relationship Id="rId267" Type="http://schemas.openxmlformats.org/officeDocument/2006/relationships/image" Target="../media/image267.emf"/><Relationship Id="rId288" Type="http://schemas.openxmlformats.org/officeDocument/2006/relationships/image" Target="../media/image288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313" Type="http://schemas.openxmlformats.org/officeDocument/2006/relationships/image" Target="../media/image313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94" Type="http://schemas.openxmlformats.org/officeDocument/2006/relationships/image" Target="../media/image94.emf"/><Relationship Id="rId148" Type="http://schemas.openxmlformats.org/officeDocument/2006/relationships/image" Target="../media/image148.emf"/><Relationship Id="rId169" Type="http://schemas.openxmlformats.org/officeDocument/2006/relationships/image" Target="../media/image169.emf"/><Relationship Id="rId334" Type="http://schemas.openxmlformats.org/officeDocument/2006/relationships/image" Target="../media/image334.emf"/><Relationship Id="rId355" Type="http://schemas.openxmlformats.org/officeDocument/2006/relationships/image" Target="../media/image355.emf"/><Relationship Id="rId376" Type="http://schemas.openxmlformats.org/officeDocument/2006/relationships/image" Target="../media/image376.emf"/><Relationship Id="rId397" Type="http://schemas.openxmlformats.org/officeDocument/2006/relationships/image" Target="../media/image397.emf"/><Relationship Id="rId4" Type="http://schemas.openxmlformats.org/officeDocument/2006/relationships/image" Target="../media/image4.emf"/><Relationship Id="rId180" Type="http://schemas.openxmlformats.org/officeDocument/2006/relationships/image" Target="../media/image180.emf"/><Relationship Id="rId215" Type="http://schemas.openxmlformats.org/officeDocument/2006/relationships/image" Target="../media/image215.emf"/><Relationship Id="rId236" Type="http://schemas.openxmlformats.org/officeDocument/2006/relationships/image" Target="../media/image236.emf"/><Relationship Id="rId257" Type="http://schemas.openxmlformats.org/officeDocument/2006/relationships/image" Target="../media/image257.emf"/><Relationship Id="rId278" Type="http://schemas.openxmlformats.org/officeDocument/2006/relationships/image" Target="../media/image278.emf"/><Relationship Id="rId303" Type="http://schemas.openxmlformats.org/officeDocument/2006/relationships/image" Target="../media/image303.emf"/><Relationship Id="rId42" Type="http://schemas.openxmlformats.org/officeDocument/2006/relationships/image" Target="../media/image42.emf"/><Relationship Id="rId84" Type="http://schemas.openxmlformats.org/officeDocument/2006/relationships/image" Target="../media/image84.emf"/><Relationship Id="rId138" Type="http://schemas.openxmlformats.org/officeDocument/2006/relationships/image" Target="../media/image138.emf"/><Relationship Id="rId345" Type="http://schemas.openxmlformats.org/officeDocument/2006/relationships/image" Target="../media/image345.emf"/><Relationship Id="rId387" Type="http://schemas.openxmlformats.org/officeDocument/2006/relationships/image" Target="../media/image387.emf"/><Relationship Id="rId191" Type="http://schemas.openxmlformats.org/officeDocument/2006/relationships/image" Target="../media/image191.emf"/><Relationship Id="rId205" Type="http://schemas.openxmlformats.org/officeDocument/2006/relationships/image" Target="../media/image205.emf"/><Relationship Id="rId247" Type="http://schemas.openxmlformats.org/officeDocument/2006/relationships/image" Target="../media/image247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6.emf"/><Relationship Id="rId13" Type="http://schemas.openxmlformats.org/officeDocument/2006/relationships/image" Target="../media/image411.emf"/><Relationship Id="rId3" Type="http://schemas.openxmlformats.org/officeDocument/2006/relationships/image" Target="../media/image401.emf"/><Relationship Id="rId7" Type="http://schemas.openxmlformats.org/officeDocument/2006/relationships/image" Target="../media/image405.emf"/><Relationship Id="rId12" Type="http://schemas.openxmlformats.org/officeDocument/2006/relationships/image" Target="../media/image410.emf"/><Relationship Id="rId2" Type="http://schemas.openxmlformats.org/officeDocument/2006/relationships/image" Target="../media/image400.emf"/><Relationship Id="rId1" Type="http://schemas.openxmlformats.org/officeDocument/2006/relationships/image" Target="../media/image399.emf"/><Relationship Id="rId6" Type="http://schemas.openxmlformats.org/officeDocument/2006/relationships/image" Target="../media/image404.emf"/><Relationship Id="rId11" Type="http://schemas.openxmlformats.org/officeDocument/2006/relationships/image" Target="../media/image409.emf"/><Relationship Id="rId5" Type="http://schemas.openxmlformats.org/officeDocument/2006/relationships/image" Target="../media/image403.emf"/><Relationship Id="rId10" Type="http://schemas.openxmlformats.org/officeDocument/2006/relationships/image" Target="../media/image408.emf"/><Relationship Id="rId4" Type="http://schemas.openxmlformats.org/officeDocument/2006/relationships/image" Target="../media/image402.emf"/><Relationship Id="rId9" Type="http://schemas.openxmlformats.org/officeDocument/2006/relationships/image" Target="../media/image40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2</xdr:row>
      <xdr:rowOff>25400</xdr:rowOff>
    </xdr:from>
    <xdr:to>
      <xdr:col>5</xdr:col>
      <xdr:colOff>2536825</xdr:colOff>
      <xdr:row>2</xdr:row>
      <xdr:rowOff>336550</xdr:rowOff>
    </xdr:to>
    <xdr:pic>
      <xdr:nvPicPr>
        <xdr:cNvPr id="2" name="$F$3" descr="=JCSYSStructure(&quot;63D67CDAD0BD42CB2C23D2BC360700CC&quot;)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92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</xdr:row>
      <xdr:rowOff>25400</xdr:rowOff>
    </xdr:from>
    <xdr:to>
      <xdr:col>5</xdr:col>
      <xdr:colOff>2536825</xdr:colOff>
      <xdr:row>3</xdr:row>
      <xdr:rowOff>336550</xdr:rowOff>
    </xdr:to>
    <xdr:pic>
      <xdr:nvPicPr>
        <xdr:cNvPr id="3" name="$F$4" descr="=JCSYSStructure(&quot;DA1390A9A976ACB4255A6B58C74FEE16&quot;)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54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</xdr:row>
      <xdr:rowOff>25400</xdr:rowOff>
    </xdr:from>
    <xdr:to>
      <xdr:col>5</xdr:col>
      <xdr:colOff>2536825</xdr:colOff>
      <xdr:row>4</xdr:row>
      <xdr:rowOff>336550</xdr:rowOff>
    </xdr:to>
    <xdr:pic>
      <xdr:nvPicPr>
        <xdr:cNvPr id="4" name="$F$5" descr="=JCSYSStructure(&quot;3C1666CBF8A59F107596A9C228414AA3&quot;)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616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</xdr:row>
      <xdr:rowOff>25400</xdr:rowOff>
    </xdr:from>
    <xdr:to>
      <xdr:col>5</xdr:col>
      <xdr:colOff>2536825</xdr:colOff>
      <xdr:row>5</xdr:row>
      <xdr:rowOff>336550</xdr:rowOff>
    </xdr:to>
    <xdr:pic>
      <xdr:nvPicPr>
        <xdr:cNvPr id="5" name="$F$6" descr="=JCSYSStructure(&quot;1EF9BBA8525E6B10F72DAF6417E4BA11&quot;)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978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</xdr:row>
      <xdr:rowOff>25400</xdr:rowOff>
    </xdr:from>
    <xdr:to>
      <xdr:col>5</xdr:col>
      <xdr:colOff>2536825</xdr:colOff>
      <xdr:row>6</xdr:row>
      <xdr:rowOff>336550</xdr:rowOff>
    </xdr:to>
    <xdr:pic>
      <xdr:nvPicPr>
        <xdr:cNvPr id="6" name="$F$7" descr="=JCSYSStructure(&quot;20B96D31D3DA72E49C07AE6BEE6A3261&quot;)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339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</xdr:row>
      <xdr:rowOff>25400</xdr:rowOff>
    </xdr:from>
    <xdr:to>
      <xdr:col>5</xdr:col>
      <xdr:colOff>2536825</xdr:colOff>
      <xdr:row>7</xdr:row>
      <xdr:rowOff>336550</xdr:rowOff>
    </xdr:to>
    <xdr:pic>
      <xdr:nvPicPr>
        <xdr:cNvPr id="7" name="$F$8" descr="=JCSYSStructure(&quot;2FBFA0B73F37A0B19A114DB3BB14F341&quot;)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701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</xdr:row>
      <xdr:rowOff>25400</xdr:rowOff>
    </xdr:from>
    <xdr:to>
      <xdr:col>5</xdr:col>
      <xdr:colOff>2536825</xdr:colOff>
      <xdr:row>8</xdr:row>
      <xdr:rowOff>336550</xdr:rowOff>
    </xdr:to>
    <xdr:pic>
      <xdr:nvPicPr>
        <xdr:cNvPr id="8" name="$F$9" descr="=JCSYSStructure(&quot;F307460CB0405E42C508E9363A630D73&quot;)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063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</xdr:row>
      <xdr:rowOff>25400</xdr:rowOff>
    </xdr:from>
    <xdr:to>
      <xdr:col>5</xdr:col>
      <xdr:colOff>2536825</xdr:colOff>
      <xdr:row>9</xdr:row>
      <xdr:rowOff>336550</xdr:rowOff>
    </xdr:to>
    <xdr:pic>
      <xdr:nvPicPr>
        <xdr:cNvPr id="9" name="$F$10" descr="=JCSYSStructure(&quot;FBA0711D892B4B1B8BECAC997533FFE0&quot;)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425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</xdr:row>
      <xdr:rowOff>25400</xdr:rowOff>
    </xdr:from>
    <xdr:to>
      <xdr:col>5</xdr:col>
      <xdr:colOff>2536825</xdr:colOff>
      <xdr:row>10</xdr:row>
      <xdr:rowOff>336550</xdr:rowOff>
    </xdr:to>
    <xdr:pic>
      <xdr:nvPicPr>
        <xdr:cNvPr id="10" name="$F$11" descr="=JCSYSStructure(&quot;FE9D47FE66302A20B58D719050A9C572&quot;)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787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</xdr:row>
      <xdr:rowOff>25400</xdr:rowOff>
    </xdr:from>
    <xdr:to>
      <xdr:col>5</xdr:col>
      <xdr:colOff>2536825</xdr:colOff>
      <xdr:row>11</xdr:row>
      <xdr:rowOff>336550</xdr:rowOff>
    </xdr:to>
    <xdr:pic>
      <xdr:nvPicPr>
        <xdr:cNvPr id="11" name="$F$12" descr="=JCSYSStructure(&quot;2AFBA3AD08B1AA5162E246FB0BE8B806&quot;)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149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</xdr:row>
      <xdr:rowOff>25400</xdr:rowOff>
    </xdr:from>
    <xdr:to>
      <xdr:col>5</xdr:col>
      <xdr:colOff>2536825</xdr:colOff>
      <xdr:row>12</xdr:row>
      <xdr:rowOff>336550</xdr:rowOff>
    </xdr:to>
    <xdr:pic>
      <xdr:nvPicPr>
        <xdr:cNvPr id="12" name="$F$13" descr="=JCSYSStructure(&quot;0CF5D94906349A94F0C274FA29968CE3&quot;)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511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</xdr:row>
      <xdr:rowOff>25400</xdr:rowOff>
    </xdr:from>
    <xdr:to>
      <xdr:col>5</xdr:col>
      <xdr:colOff>2536825</xdr:colOff>
      <xdr:row>13</xdr:row>
      <xdr:rowOff>336550</xdr:rowOff>
    </xdr:to>
    <xdr:pic>
      <xdr:nvPicPr>
        <xdr:cNvPr id="13" name="$F$14" descr="=JCSYSStructure(&quot;68DB672E094B0E11D1B898B9215C4DCA&quot;)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873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</xdr:row>
      <xdr:rowOff>25400</xdr:rowOff>
    </xdr:from>
    <xdr:to>
      <xdr:col>5</xdr:col>
      <xdr:colOff>2536825</xdr:colOff>
      <xdr:row>14</xdr:row>
      <xdr:rowOff>336550</xdr:rowOff>
    </xdr:to>
    <xdr:pic>
      <xdr:nvPicPr>
        <xdr:cNvPr id="14" name="$F$15" descr="=JCSYSStructure(&quot;66F5D666B9A4CB3A882B9A4397918C90&quot;)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235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</xdr:row>
      <xdr:rowOff>25400</xdr:rowOff>
    </xdr:from>
    <xdr:to>
      <xdr:col>5</xdr:col>
      <xdr:colOff>2536825</xdr:colOff>
      <xdr:row>15</xdr:row>
      <xdr:rowOff>336550</xdr:rowOff>
    </xdr:to>
    <xdr:pic>
      <xdr:nvPicPr>
        <xdr:cNvPr id="15" name="$F$16" descr="=JCSYSStructure(&quot;3B997F79075C277115454B1638D9EDB1&quot;)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597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</xdr:row>
      <xdr:rowOff>25400</xdr:rowOff>
    </xdr:from>
    <xdr:to>
      <xdr:col>5</xdr:col>
      <xdr:colOff>2536825</xdr:colOff>
      <xdr:row>16</xdr:row>
      <xdr:rowOff>336550</xdr:rowOff>
    </xdr:to>
    <xdr:pic>
      <xdr:nvPicPr>
        <xdr:cNvPr id="16" name="$F$17" descr="=JCSYSStructure(&quot;3766CA0E3432AEF15C566D551059FBA6&quot;)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959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</xdr:row>
      <xdr:rowOff>25400</xdr:rowOff>
    </xdr:from>
    <xdr:to>
      <xdr:col>5</xdr:col>
      <xdr:colOff>2536825</xdr:colOff>
      <xdr:row>17</xdr:row>
      <xdr:rowOff>336550</xdr:rowOff>
    </xdr:to>
    <xdr:pic>
      <xdr:nvPicPr>
        <xdr:cNvPr id="17" name="$F$18" descr="=JCSYSStructure(&quot;8F64EEF9CD7413D7D7EB8304193AD733&quot;)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321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</xdr:row>
      <xdr:rowOff>25400</xdr:rowOff>
    </xdr:from>
    <xdr:to>
      <xdr:col>5</xdr:col>
      <xdr:colOff>2536825</xdr:colOff>
      <xdr:row>18</xdr:row>
      <xdr:rowOff>336550</xdr:rowOff>
    </xdr:to>
    <xdr:pic>
      <xdr:nvPicPr>
        <xdr:cNvPr id="18" name="$F$19" descr="=JCSYSStructure(&quot;56B0AC4DF005FFDE88D82148836F1DC7&quot;)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683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</xdr:row>
      <xdr:rowOff>25400</xdr:rowOff>
    </xdr:from>
    <xdr:to>
      <xdr:col>5</xdr:col>
      <xdr:colOff>2536825</xdr:colOff>
      <xdr:row>19</xdr:row>
      <xdr:rowOff>336550</xdr:rowOff>
    </xdr:to>
    <xdr:pic>
      <xdr:nvPicPr>
        <xdr:cNvPr id="19" name="$F$20" descr="=JCSYSStructure(&quot;128740AF4DB186DF396F3C9453078E21&quot;)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045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</xdr:row>
      <xdr:rowOff>25400</xdr:rowOff>
    </xdr:from>
    <xdr:to>
      <xdr:col>5</xdr:col>
      <xdr:colOff>2536825</xdr:colOff>
      <xdr:row>20</xdr:row>
      <xdr:rowOff>336550</xdr:rowOff>
    </xdr:to>
    <xdr:pic>
      <xdr:nvPicPr>
        <xdr:cNvPr id="20" name="$F$21" descr="=JCSYSStructure(&quot;A6F6C84EEEE0293861F691BECC2C98AA&quot;)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407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</xdr:row>
      <xdr:rowOff>25400</xdr:rowOff>
    </xdr:from>
    <xdr:to>
      <xdr:col>5</xdr:col>
      <xdr:colOff>2536825</xdr:colOff>
      <xdr:row>21</xdr:row>
      <xdr:rowOff>336550</xdr:rowOff>
    </xdr:to>
    <xdr:pic>
      <xdr:nvPicPr>
        <xdr:cNvPr id="21" name="$F$22" descr="=JCSYSStructure(&quot;54028EA177110D4E678F3EB8A4519B51&quot;)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769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</xdr:row>
      <xdr:rowOff>25400</xdr:rowOff>
    </xdr:from>
    <xdr:to>
      <xdr:col>5</xdr:col>
      <xdr:colOff>2536825</xdr:colOff>
      <xdr:row>22</xdr:row>
      <xdr:rowOff>336550</xdr:rowOff>
    </xdr:to>
    <xdr:pic>
      <xdr:nvPicPr>
        <xdr:cNvPr id="22" name="$F$23" descr="=JCSYSStructure(&quot;E39506438D674C2F43ECEEE55F303C06&quot;)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131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</xdr:row>
      <xdr:rowOff>25400</xdr:rowOff>
    </xdr:from>
    <xdr:to>
      <xdr:col>5</xdr:col>
      <xdr:colOff>2536825</xdr:colOff>
      <xdr:row>23</xdr:row>
      <xdr:rowOff>336550</xdr:rowOff>
    </xdr:to>
    <xdr:pic>
      <xdr:nvPicPr>
        <xdr:cNvPr id="23" name="$F$24" descr="=JCSYSStructure(&quot;E823A2C213C5CA0AA7CC533AA59B5F72&quot;)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493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</xdr:row>
      <xdr:rowOff>25400</xdr:rowOff>
    </xdr:from>
    <xdr:to>
      <xdr:col>5</xdr:col>
      <xdr:colOff>2536825</xdr:colOff>
      <xdr:row>24</xdr:row>
      <xdr:rowOff>336550</xdr:rowOff>
    </xdr:to>
    <xdr:pic>
      <xdr:nvPicPr>
        <xdr:cNvPr id="24" name="$F$25" descr="=JCSYSStructure(&quot;44183BA645424B3C0A22BF19CC520E9D&quot;)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855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</xdr:row>
      <xdr:rowOff>25400</xdr:rowOff>
    </xdr:from>
    <xdr:to>
      <xdr:col>5</xdr:col>
      <xdr:colOff>2536825</xdr:colOff>
      <xdr:row>25</xdr:row>
      <xdr:rowOff>336550</xdr:rowOff>
    </xdr:to>
    <xdr:pic>
      <xdr:nvPicPr>
        <xdr:cNvPr id="25" name="$F$26" descr="=JCSYSStructure(&quot;C3AF58641F0F85BAE4D7CB47D2464869&quot;)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217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</xdr:row>
      <xdr:rowOff>25400</xdr:rowOff>
    </xdr:from>
    <xdr:to>
      <xdr:col>5</xdr:col>
      <xdr:colOff>2536825</xdr:colOff>
      <xdr:row>26</xdr:row>
      <xdr:rowOff>336550</xdr:rowOff>
    </xdr:to>
    <xdr:pic>
      <xdr:nvPicPr>
        <xdr:cNvPr id="26" name="$F$27" descr="=JCSYSStructure(&quot;49CC9E4CA8A4A31517CC2043497B4D9A&quot;)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578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</xdr:row>
      <xdr:rowOff>25400</xdr:rowOff>
    </xdr:from>
    <xdr:to>
      <xdr:col>5</xdr:col>
      <xdr:colOff>2536825</xdr:colOff>
      <xdr:row>27</xdr:row>
      <xdr:rowOff>336550</xdr:rowOff>
    </xdr:to>
    <xdr:pic>
      <xdr:nvPicPr>
        <xdr:cNvPr id="27" name="$F$28" descr="=JCSYSStructure(&quot;28FE6BD88A8708BFF509CAFCF89AC474&quot;)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940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</xdr:row>
      <xdr:rowOff>25400</xdr:rowOff>
    </xdr:from>
    <xdr:to>
      <xdr:col>5</xdr:col>
      <xdr:colOff>2536825</xdr:colOff>
      <xdr:row>28</xdr:row>
      <xdr:rowOff>336550</xdr:rowOff>
    </xdr:to>
    <xdr:pic>
      <xdr:nvPicPr>
        <xdr:cNvPr id="28" name="$F$29" descr="=JCSYSStructure(&quot;3DF89D54B16AE2703B6236F289CB8D44&quot;)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302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</xdr:row>
      <xdr:rowOff>25400</xdr:rowOff>
    </xdr:from>
    <xdr:to>
      <xdr:col>5</xdr:col>
      <xdr:colOff>2536825</xdr:colOff>
      <xdr:row>29</xdr:row>
      <xdr:rowOff>336550</xdr:rowOff>
    </xdr:to>
    <xdr:pic>
      <xdr:nvPicPr>
        <xdr:cNvPr id="29" name="$F$30" descr="=JCSYSStructure(&quot;3042207D460A738402B4A5440137123B&quot;)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664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</xdr:row>
      <xdr:rowOff>25400</xdr:rowOff>
    </xdr:from>
    <xdr:to>
      <xdr:col>5</xdr:col>
      <xdr:colOff>2536825</xdr:colOff>
      <xdr:row>30</xdr:row>
      <xdr:rowOff>336550</xdr:rowOff>
    </xdr:to>
    <xdr:pic>
      <xdr:nvPicPr>
        <xdr:cNvPr id="30" name="$F$31" descr="=JCSYSStructure(&quot;8D6D11C763DD1FBBBD60D58FD1B1AFA6&quot;)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026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</xdr:row>
      <xdr:rowOff>25400</xdr:rowOff>
    </xdr:from>
    <xdr:to>
      <xdr:col>5</xdr:col>
      <xdr:colOff>2536825</xdr:colOff>
      <xdr:row>31</xdr:row>
      <xdr:rowOff>336550</xdr:rowOff>
    </xdr:to>
    <xdr:pic>
      <xdr:nvPicPr>
        <xdr:cNvPr id="31" name="$F$32" descr="=JCSYSStructure(&quot;AF19D5D49C83EF503F6A7187E782091B&quot;)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388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</xdr:row>
      <xdr:rowOff>25400</xdr:rowOff>
    </xdr:from>
    <xdr:to>
      <xdr:col>5</xdr:col>
      <xdr:colOff>2536825</xdr:colOff>
      <xdr:row>32</xdr:row>
      <xdr:rowOff>336550</xdr:rowOff>
    </xdr:to>
    <xdr:pic>
      <xdr:nvPicPr>
        <xdr:cNvPr id="32" name="$F$33" descr="=JCSYSStructure(&quot;00ADD1DE40599EB3840310F7DDF4D7AD&quot;)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750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</xdr:row>
      <xdr:rowOff>25400</xdr:rowOff>
    </xdr:from>
    <xdr:to>
      <xdr:col>5</xdr:col>
      <xdr:colOff>2536825</xdr:colOff>
      <xdr:row>33</xdr:row>
      <xdr:rowOff>336550</xdr:rowOff>
    </xdr:to>
    <xdr:pic>
      <xdr:nvPicPr>
        <xdr:cNvPr id="33" name="$F$34" descr="=JCSYSStructure(&quot;BCEE80DE13205F0A1B9BFC2256D9D3FA&quot;)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112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</xdr:row>
      <xdr:rowOff>25400</xdr:rowOff>
    </xdr:from>
    <xdr:to>
      <xdr:col>5</xdr:col>
      <xdr:colOff>2536825</xdr:colOff>
      <xdr:row>34</xdr:row>
      <xdr:rowOff>336550</xdr:rowOff>
    </xdr:to>
    <xdr:pic>
      <xdr:nvPicPr>
        <xdr:cNvPr id="34" name="$F$35" descr="=JCSYSStructure(&quot;E4D9F5356C58710D946F1F60DCA9F7B2&quot;)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474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</xdr:row>
      <xdr:rowOff>25400</xdr:rowOff>
    </xdr:from>
    <xdr:to>
      <xdr:col>5</xdr:col>
      <xdr:colOff>2536825</xdr:colOff>
      <xdr:row>35</xdr:row>
      <xdr:rowOff>336550</xdr:rowOff>
    </xdr:to>
    <xdr:pic>
      <xdr:nvPicPr>
        <xdr:cNvPr id="35" name="$F$36" descr="=JCSYSStructure(&quot;A3CDC68D45798A5132839B5E87801C3D&quot;)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836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</xdr:row>
      <xdr:rowOff>25400</xdr:rowOff>
    </xdr:from>
    <xdr:to>
      <xdr:col>5</xdr:col>
      <xdr:colOff>2536825</xdr:colOff>
      <xdr:row>36</xdr:row>
      <xdr:rowOff>336550</xdr:rowOff>
    </xdr:to>
    <xdr:pic>
      <xdr:nvPicPr>
        <xdr:cNvPr id="36" name="$F$37" descr="=JCSYSStructure(&quot;6F74E68EFB8786DD384D82230F726BA9&quot;)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198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</xdr:row>
      <xdr:rowOff>25400</xdr:rowOff>
    </xdr:from>
    <xdr:to>
      <xdr:col>5</xdr:col>
      <xdr:colOff>2536825</xdr:colOff>
      <xdr:row>37</xdr:row>
      <xdr:rowOff>336550</xdr:rowOff>
    </xdr:to>
    <xdr:pic>
      <xdr:nvPicPr>
        <xdr:cNvPr id="37" name="$F$38" descr="=JCSYSStructure(&quot;489E0FC2ED4467595668DA0DCB193291&quot;)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560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</xdr:row>
      <xdr:rowOff>25400</xdr:rowOff>
    </xdr:from>
    <xdr:to>
      <xdr:col>5</xdr:col>
      <xdr:colOff>2536825</xdr:colOff>
      <xdr:row>38</xdr:row>
      <xdr:rowOff>336550</xdr:rowOff>
    </xdr:to>
    <xdr:pic>
      <xdr:nvPicPr>
        <xdr:cNvPr id="38" name="$F$39" descr="=JCSYSStructure(&quot;09B25BD16A46248E4541D4E80E1C836A&quot;)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922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</xdr:row>
      <xdr:rowOff>25400</xdr:rowOff>
    </xdr:from>
    <xdr:to>
      <xdr:col>5</xdr:col>
      <xdr:colOff>2536825</xdr:colOff>
      <xdr:row>39</xdr:row>
      <xdr:rowOff>336550</xdr:rowOff>
    </xdr:to>
    <xdr:pic>
      <xdr:nvPicPr>
        <xdr:cNvPr id="39" name="$F$40" descr="=JCSYSStructure(&quot;BC0965B423ABD946E593D69AE26FB166&quot;)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284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</xdr:row>
      <xdr:rowOff>25400</xdr:rowOff>
    </xdr:from>
    <xdr:to>
      <xdr:col>5</xdr:col>
      <xdr:colOff>2536825</xdr:colOff>
      <xdr:row>40</xdr:row>
      <xdr:rowOff>336550</xdr:rowOff>
    </xdr:to>
    <xdr:pic>
      <xdr:nvPicPr>
        <xdr:cNvPr id="40" name="$F$41" descr="=JCSYSStructure(&quot;5E4ABCDF406E6EA8D4F44924C8C541E1&quot;)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646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</xdr:row>
      <xdr:rowOff>25400</xdr:rowOff>
    </xdr:from>
    <xdr:to>
      <xdr:col>5</xdr:col>
      <xdr:colOff>2536825</xdr:colOff>
      <xdr:row>41</xdr:row>
      <xdr:rowOff>336550</xdr:rowOff>
    </xdr:to>
    <xdr:pic>
      <xdr:nvPicPr>
        <xdr:cNvPr id="41" name="$F$42" descr="=JCSYSStructure(&quot;ADD6FE7DC2589E298BA747A0847D1C73&quot;)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5008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</xdr:row>
      <xdr:rowOff>25400</xdr:rowOff>
    </xdr:from>
    <xdr:to>
      <xdr:col>5</xdr:col>
      <xdr:colOff>2536825</xdr:colOff>
      <xdr:row>42</xdr:row>
      <xdr:rowOff>336550</xdr:rowOff>
    </xdr:to>
    <xdr:pic>
      <xdr:nvPicPr>
        <xdr:cNvPr id="42" name="$F$43" descr="=JCSYSStructure(&quot;358EC771D522C549E30D0C9D2B067D0C&quot;)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5370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</xdr:row>
      <xdr:rowOff>25400</xdr:rowOff>
    </xdr:from>
    <xdr:to>
      <xdr:col>5</xdr:col>
      <xdr:colOff>2536825</xdr:colOff>
      <xdr:row>43</xdr:row>
      <xdr:rowOff>336550</xdr:rowOff>
    </xdr:to>
    <xdr:pic>
      <xdr:nvPicPr>
        <xdr:cNvPr id="43" name="$F$44" descr="=JCSYSStructure(&quot;06DFCE685DD194FB1E6493C253E011B9&quot;)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5732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</xdr:row>
      <xdr:rowOff>25400</xdr:rowOff>
    </xdr:from>
    <xdr:to>
      <xdr:col>5</xdr:col>
      <xdr:colOff>2536825</xdr:colOff>
      <xdr:row>44</xdr:row>
      <xdr:rowOff>336550</xdr:rowOff>
    </xdr:to>
    <xdr:pic>
      <xdr:nvPicPr>
        <xdr:cNvPr id="44" name="$F$45" descr="=JCSYSStructure(&quot;D91EC53E4CC25E5CCEEDCCCB6B64B211&quot;)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6094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</xdr:row>
      <xdr:rowOff>25400</xdr:rowOff>
    </xdr:from>
    <xdr:to>
      <xdr:col>5</xdr:col>
      <xdr:colOff>2536825</xdr:colOff>
      <xdr:row>45</xdr:row>
      <xdr:rowOff>336550</xdr:rowOff>
    </xdr:to>
    <xdr:pic>
      <xdr:nvPicPr>
        <xdr:cNvPr id="45" name="$F$46" descr="=JCSYSStructure(&quot;D5E046EEFC47A372B8104B70D0C98C04&quot;)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6456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</xdr:row>
      <xdr:rowOff>25400</xdr:rowOff>
    </xdr:from>
    <xdr:to>
      <xdr:col>5</xdr:col>
      <xdr:colOff>2536825</xdr:colOff>
      <xdr:row>46</xdr:row>
      <xdr:rowOff>336550</xdr:rowOff>
    </xdr:to>
    <xdr:pic>
      <xdr:nvPicPr>
        <xdr:cNvPr id="46" name="$F$47" descr="=JCSYSStructure(&quot;43C72D4267046C135053358D442DF5FF&quot;)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6817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</xdr:row>
      <xdr:rowOff>25400</xdr:rowOff>
    </xdr:from>
    <xdr:to>
      <xdr:col>5</xdr:col>
      <xdr:colOff>2536825</xdr:colOff>
      <xdr:row>47</xdr:row>
      <xdr:rowOff>336550</xdr:rowOff>
    </xdr:to>
    <xdr:pic>
      <xdr:nvPicPr>
        <xdr:cNvPr id="47" name="$F$48" descr="=JCSYSStructure(&quot;69D51DFF5287A3FB69307C9F10203B96&quot;)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7179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</xdr:row>
      <xdr:rowOff>25400</xdr:rowOff>
    </xdr:from>
    <xdr:to>
      <xdr:col>5</xdr:col>
      <xdr:colOff>2536825</xdr:colOff>
      <xdr:row>48</xdr:row>
      <xdr:rowOff>336550</xdr:rowOff>
    </xdr:to>
    <xdr:pic>
      <xdr:nvPicPr>
        <xdr:cNvPr id="48" name="$F$49" descr="=JCSYSStructure(&quot;181C492415FD805F8017D8CB6FFA9587&quot;)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7541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</xdr:row>
      <xdr:rowOff>25400</xdr:rowOff>
    </xdr:from>
    <xdr:to>
      <xdr:col>5</xdr:col>
      <xdr:colOff>2536825</xdr:colOff>
      <xdr:row>49</xdr:row>
      <xdr:rowOff>336550</xdr:rowOff>
    </xdr:to>
    <xdr:pic>
      <xdr:nvPicPr>
        <xdr:cNvPr id="49" name="$F$50" descr="=JCSYSStructure(&quot;85B884AE5793AC8D1E9AA9C68285CAEF&quot;)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7903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</xdr:row>
      <xdr:rowOff>25400</xdr:rowOff>
    </xdr:from>
    <xdr:to>
      <xdr:col>5</xdr:col>
      <xdr:colOff>2536825</xdr:colOff>
      <xdr:row>50</xdr:row>
      <xdr:rowOff>336550</xdr:rowOff>
    </xdr:to>
    <xdr:pic>
      <xdr:nvPicPr>
        <xdr:cNvPr id="50" name="$F$51" descr="=JCSYSStructure(&quot;B5F1295A386DA12FD833063D95EA0957&quot;)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8265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</xdr:row>
      <xdr:rowOff>25400</xdr:rowOff>
    </xdr:from>
    <xdr:to>
      <xdr:col>5</xdr:col>
      <xdr:colOff>2536825</xdr:colOff>
      <xdr:row>51</xdr:row>
      <xdr:rowOff>336550</xdr:rowOff>
    </xdr:to>
    <xdr:pic>
      <xdr:nvPicPr>
        <xdr:cNvPr id="51" name="$F$52" descr="=JCSYSStructure(&quot;92CCEFD9A88F700077C8C11A60E02627&quot;)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8627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</xdr:row>
      <xdr:rowOff>25400</xdr:rowOff>
    </xdr:from>
    <xdr:to>
      <xdr:col>5</xdr:col>
      <xdr:colOff>2536825</xdr:colOff>
      <xdr:row>52</xdr:row>
      <xdr:rowOff>336550</xdr:rowOff>
    </xdr:to>
    <xdr:pic>
      <xdr:nvPicPr>
        <xdr:cNvPr id="52" name="$F$53" descr="=JCSYSStructure(&quot;CE00C56508D95A456558255215D65670&quot;)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8989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</xdr:row>
      <xdr:rowOff>25400</xdr:rowOff>
    </xdr:from>
    <xdr:to>
      <xdr:col>5</xdr:col>
      <xdr:colOff>2536825</xdr:colOff>
      <xdr:row>53</xdr:row>
      <xdr:rowOff>336550</xdr:rowOff>
    </xdr:to>
    <xdr:pic>
      <xdr:nvPicPr>
        <xdr:cNvPr id="53" name="$F$54" descr="=JCSYSStructure(&quot;3E761C7292517E8B376F2C7B3AEC5AF2&quot;)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9351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</xdr:row>
      <xdr:rowOff>25400</xdr:rowOff>
    </xdr:from>
    <xdr:to>
      <xdr:col>5</xdr:col>
      <xdr:colOff>2536825</xdr:colOff>
      <xdr:row>54</xdr:row>
      <xdr:rowOff>336550</xdr:rowOff>
    </xdr:to>
    <xdr:pic>
      <xdr:nvPicPr>
        <xdr:cNvPr id="54" name="$F$55" descr="=JCSYSStructure(&quot;341B3B527B04392326187DBF16A14A97&quot;)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9713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</xdr:row>
      <xdr:rowOff>25400</xdr:rowOff>
    </xdr:from>
    <xdr:to>
      <xdr:col>5</xdr:col>
      <xdr:colOff>2536825</xdr:colOff>
      <xdr:row>55</xdr:row>
      <xdr:rowOff>336550</xdr:rowOff>
    </xdr:to>
    <xdr:pic>
      <xdr:nvPicPr>
        <xdr:cNvPr id="55" name="$F$56" descr="=JCSYSStructure(&quot;B970C6CF7D5E4D9D388E138DA2F57565&quot;)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0075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</xdr:row>
      <xdr:rowOff>25400</xdr:rowOff>
    </xdr:from>
    <xdr:to>
      <xdr:col>5</xdr:col>
      <xdr:colOff>2536825</xdr:colOff>
      <xdr:row>56</xdr:row>
      <xdr:rowOff>336550</xdr:rowOff>
    </xdr:to>
    <xdr:pic>
      <xdr:nvPicPr>
        <xdr:cNvPr id="56" name="$F$57" descr="=JCSYSStructure(&quot;005423D76BD39C7A3751EA7AE7DAF57E&quot;)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0437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</xdr:row>
      <xdr:rowOff>25400</xdr:rowOff>
    </xdr:from>
    <xdr:to>
      <xdr:col>5</xdr:col>
      <xdr:colOff>2536825</xdr:colOff>
      <xdr:row>57</xdr:row>
      <xdr:rowOff>336550</xdr:rowOff>
    </xdr:to>
    <xdr:pic>
      <xdr:nvPicPr>
        <xdr:cNvPr id="57" name="$F$58" descr="=JCSYSStructure(&quot;78787E44BAAB905C2339A2C54AEAC12C&quot;)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0799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</xdr:row>
      <xdr:rowOff>25400</xdr:rowOff>
    </xdr:from>
    <xdr:to>
      <xdr:col>5</xdr:col>
      <xdr:colOff>2536825</xdr:colOff>
      <xdr:row>58</xdr:row>
      <xdr:rowOff>336550</xdr:rowOff>
    </xdr:to>
    <xdr:pic>
      <xdr:nvPicPr>
        <xdr:cNvPr id="58" name="$F$59" descr="=JCSYSStructure(&quot;91B08C69F596700271680A2A6FC44F43&quot;)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1161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</xdr:row>
      <xdr:rowOff>25400</xdr:rowOff>
    </xdr:from>
    <xdr:to>
      <xdr:col>5</xdr:col>
      <xdr:colOff>2536825</xdr:colOff>
      <xdr:row>59</xdr:row>
      <xdr:rowOff>336550</xdr:rowOff>
    </xdr:to>
    <xdr:pic>
      <xdr:nvPicPr>
        <xdr:cNvPr id="59" name="$F$60" descr="=JCSYSStructure(&quot;A9DCDBB24ABB653D16D262C6C2CACC06&quot;)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1523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</xdr:row>
      <xdr:rowOff>25400</xdr:rowOff>
    </xdr:from>
    <xdr:to>
      <xdr:col>5</xdr:col>
      <xdr:colOff>2536825</xdr:colOff>
      <xdr:row>60</xdr:row>
      <xdr:rowOff>336550</xdr:rowOff>
    </xdr:to>
    <xdr:pic>
      <xdr:nvPicPr>
        <xdr:cNvPr id="60" name="$F$61" descr="=JCSYSStructure(&quot;F1F22776678A5FB09C8405D712E479AE&quot;)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1885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</xdr:row>
      <xdr:rowOff>25400</xdr:rowOff>
    </xdr:from>
    <xdr:to>
      <xdr:col>5</xdr:col>
      <xdr:colOff>2536825</xdr:colOff>
      <xdr:row>61</xdr:row>
      <xdr:rowOff>336550</xdr:rowOff>
    </xdr:to>
    <xdr:pic>
      <xdr:nvPicPr>
        <xdr:cNvPr id="61" name="$F$62" descr="=JCSYSStructure(&quot;90B0ACBC5C7E9D9E96A0689092118D73&quot;)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2247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</xdr:row>
      <xdr:rowOff>25400</xdr:rowOff>
    </xdr:from>
    <xdr:to>
      <xdr:col>5</xdr:col>
      <xdr:colOff>2536825</xdr:colOff>
      <xdr:row>62</xdr:row>
      <xdr:rowOff>336550</xdr:rowOff>
    </xdr:to>
    <xdr:pic>
      <xdr:nvPicPr>
        <xdr:cNvPr id="62" name="$F$63" descr="=JCSYSStructure(&quot;BE0F8FD13B9E4B2462BE4C853437E456&quot;)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2609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</xdr:row>
      <xdr:rowOff>25400</xdr:rowOff>
    </xdr:from>
    <xdr:to>
      <xdr:col>5</xdr:col>
      <xdr:colOff>2536825</xdr:colOff>
      <xdr:row>63</xdr:row>
      <xdr:rowOff>336550</xdr:rowOff>
    </xdr:to>
    <xdr:pic>
      <xdr:nvPicPr>
        <xdr:cNvPr id="63" name="$F$64" descr="=JCSYSStructure(&quot;A8D0F8FB969AED0352ACCE65A9DBC1BF&quot;)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2971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64</xdr:row>
      <xdr:rowOff>25400</xdr:rowOff>
    </xdr:from>
    <xdr:to>
      <xdr:col>5</xdr:col>
      <xdr:colOff>2536825</xdr:colOff>
      <xdr:row>64</xdr:row>
      <xdr:rowOff>336550</xdr:rowOff>
    </xdr:to>
    <xdr:pic>
      <xdr:nvPicPr>
        <xdr:cNvPr id="64" name="$F$65" descr="=JCSYSStructure(&quot;A7311B1A95BFB18DCDAAE7FB08D2BE46&quot;)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3333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65</xdr:row>
      <xdr:rowOff>25400</xdr:rowOff>
    </xdr:from>
    <xdr:to>
      <xdr:col>5</xdr:col>
      <xdr:colOff>2536825</xdr:colOff>
      <xdr:row>65</xdr:row>
      <xdr:rowOff>336550</xdr:rowOff>
    </xdr:to>
    <xdr:pic>
      <xdr:nvPicPr>
        <xdr:cNvPr id="65" name="$F$66" descr="=JCSYSStructure(&quot;801887DEA4FC181DA1E0858171EEEE53&quot;)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3695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66</xdr:row>
      <xdr:rowOff>25400</xdr:rowOff>
    </xdr:from>
    <xdr:to>
      <xdr:col>5</xdr:col>
      <xdr:colOff>2536825</xdr:colOff>
      <xdr:row>66</xdr:row>
      <xdr:rowOff>336550</xdr:rowOff>
    </xdr:to>
    <xdr:pic>
      <xdr:nvPicPr>
        <xdr:cNvPr id="66" name="$F$67" descr="=JCSYSStructure(&quot;512734CBDFB9E942A9FFDA37A5C189D8&quot;)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4056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67</xdr:row>
      <xdr:rowOff>25400</xdr:rowOff>
    </xdr:from>
    <xdr:to>
      <xdr:col>5</xdr:col>
      <xdr:colOff>2536825</xdr:colOff>
      <xdr:row>67</xdr:row>
      <xdr:rowOff>336550</xdr:rowOff>
    </xdr:to>
    <xdr:pic>
      <xdr:nvPicPr>
        <xdr:cNvPr id="67" name="$F$68" descr="=JCSYSStructure(&quot;C5730D8212142411B6D35D6E6F09EAA1&quot;)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4418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68</xdr:row>
      <xdr:rowOff>25400</xdr:rowOff>
    </xdr:from>
    <xdr:to>
      <xdr:col>5</xdr:col>
      <xdr:colOff>2536825</xdr:colOff>
      <xdr:row>68</xdr:row>
      <xdr:rowOff>336550</xdr:rowOff>
    </xdr:to>
    <xdr:pic>
      <xdr:nvPicPr>
        <xdr:cNvPr id="68" name="$F$69" descr="=JCSYSStructure(&quot;6F814EE11B1BF33143AE6DC6D392B240&quot;)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4780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69</xdr:row>
      <xdr:rowOff>25400</xdr:rowOff>
    </xdr:from>
    <xdr:to>
      <xdr:col>5</xdr:col>
      <xdr:colOff>2536825</xdr:colOff>
      <xdr:row>69</xdr:row>
      <xdr:rowOff>336550</xdr:rowOff>
    </xdr:to>
    <xdr:pic>
      <xdr:nvPicPr>
        <xdr:cNvPr id="69" name="$F$70" descr="=JCSYSStructure(&quot;0CF57A349C555B5A187FBBB10089532B&quot;)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5142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70</xdr:row>
      <xdr:rowOff>25400</xdr:rowOff>
    </xdr:from>
    <xdr:to>
      <xdr:col>5</xdr:col>
      <xdr:colOff>2536825</xdr:colOff>
      <xdr:row>70</xdr:row>
      <xdr:rowOff>336550</xdr:rowOff>
    </xdr:to>
    <xdr:pic>
      <xdr:nvPicPr>
        <xdr:cNvPr id="70" name="$F$71" descr="=JCSYSStructure(&quot;DC8053192D9BDC4CA7D2B96D4229DF0F&quot;)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5504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71</xdr:row>
      <xdr:rowOff>25400</xdr:rowOff>
    </xdr:from>
    <xdr:to>
      <xdr:col>5</xdr:col>
      <xdr:colOff>2536825</xdr:colOff>
      <xdr:row>71</xdr:row>
      <xdr:rowOff>336550</xdr:rowOff>
    </xdr:to>
    <xdr:pic>
      <xdr:nvPicPr>
        <xdr:cNvPr id="71" name="$F$72" descr="=JCSYSStructure(&quot;7E77EFD7256AF1233B92C0553A9BBA85&quot;)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5866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72</xdr:row>
      <xdr:rowOff>25400</xdr:rowOff>
    </xdr:from>
    <xdr:to>
      <xdr:col>5</xdr:col>
      <xdr:colOff>2536825</xdr:colOff>
      <xdr:row>72</xdr:row>
      <xdr:rowOff>336550</xdr:rowOff>
    </xdr:to>
    <xdr:pic>
      <xdr:nvPicPr>
        <xdr:cNvPr id="72" name="$F$73" descr="=JCSYSStructure(&quot;92413F9EAA8DC7AD4D31DA7CCE93F156&quot;)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6228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73</xdr:row>
      <xdr:rowOff>25400</xdr:rowOff>
    </xdr:from>
    <xdr:to>
      <xdr:col>5</xdr:col>
      <xdr:colOff>2536825</xdr:colOff>
      <xdr:row>73</xdr:row>
      <xdr:rowOff>336550</xdr:rowOff>
    </xdr:to>
    <xdr:pic>
      <xdr:nvPicPr>
        <xdr:cNvPr id="73" name="$F$74" descr="=JCSYSStructure(&quot;1991619BA691DBD8D44947D22213A7F7&quot;)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6590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74</xdr:row>
      <xdr:rowOff>25400</xdr:rowOff>
    </xdr:from>
    <xdr:to>
      <xdr:col>5</xdr:col>
      <xdr:colOff>2536825</xdr:colOff>
      <xdr:row>74</xdr:row>
      <xdr:rowOff>336550</xdr:rowOff>
    </xdr:to>
    <xdr:pic>
      <xdr:nvPicPr>
        <xdr:cNvPr id="74" name="$F$75" descr="=JCSYSStructure(&quot;77783CF02A7D45D68F4964591D2EFDE4&quot;)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6952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75</xdr:row>
      <xdr:rowOff>25400</xdr:rowOff>
    </xdr:from>
    <xdr:to>
      <xdr:col>5</xdr:col>
      <xdr:colOff>2536825</xdr:colOff>
      <xdr:row>75</xdr:row>
      <xdr:rowOff>336550</xdr:rowOff>
    </xdr:to>
    <xdr:pic>
      <xdr:nvPicPr>
        <xdr:cNvPr id="75" name="$F$76" descr="=JCSYSStructure(&quot;3D6785E919FB443EFC1A31FD8AFC0A90&quot;)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7314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76</xdr:row>
      <xdr:rowOff>25400</xdr:rowOff>
    </xdr:from>
    <xdr:to>
      <xdr:col>5</xdr:col>
      <xdr:colOff>2536825</xdr:colOff>
      <xdr:row>76</xdr:row>
      <xdr:rowOff>336550</xdr:rowOff>
    </xdr:to>
    <xdr:pic>
      <xdr:nvPicPr>
        <xdr:cNvPr id="76" name="$F$77" descr="=JCSYSStructure(&quot;8040E16E39D981203B36A84E6283D2C0&quot;)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7676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77</xdr:row>
      <xdr:rowOff>25400</xdr:rowOff>
    </xdr:from>
    <xdr:to>
      <xdr:col>5</xdr:col>
      <xdr:colOff>2536825</xdr:colOff>
      <xdr:row>77</xdr:row>
      <xdr:rowOff>336550</xdr:rowOff>
    </xdr:to>
    <xdr:pic>
      <xdr:nvPicPr>
        <xdr:cNvPr id="77" name="$F$78" descr="=JCSYSStructure(&quot;C366D9E71FD601E4A85FB2A8DFFB6C62&quot;)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8038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78</xdr:row>
      <xdr:rowOff>25400</xdr:rowOff>
    </xdr:from>
    <xdr:to>
      <xdr:col>5</xdr:col>
      <xdr:colOff>2536825</xdr:colOff>
      <xdr:row>78</xdr:row>
      <xdr:rowOff>336550</xdr:rowOff>
    </xdr:to>
    <xdr:pic>
      <xdr:nvPicPr>
        <xdr:cNvPr id="78" name="$F$79" descr="=JCSYSStructure(&quot;035A10A7B99EE486CAD6CD8C021D34B6&quot;)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8400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79</xdr:row>
      <xdr:rowOff>25400</xdr:rowOff>
    </xdr:from>
    <xdr:to>
      <xdr:col>5</xdr:col>
      <xdr:colOff>2536825</xdr:colOff>
      <xdr:row>79</xdr:row>
      <xdr:rowOff>336550</xdr:rowOff>
    </xdr:to>
    <xdr:pic>
      <xdr:nvPicPr>
        <xdr:cNvPr id="79" name="$F$80" descr="=JCSYSStructure(&quot;B1EB1F680A748F0D0FE2945F0C853E14&quot;)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8762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80</xdr:row>
      <xdr:rowOff>25400</xdr:rowOff>
    </xdr:from>
    <xdr:to>
      <xdr:col>5</xdr:col>
      <xdr:colOff>2536825</xdr:colOff>
      <xdr:row>80</xdr:row>
      <xdr:rowOff>336550</xdr:rowOff>
    </xdr:to>
    <xdr:pic>
      <xdr:nvPicPr>
        <xdr:cNvPr id="80" name="$F$81" descr="=JCSYSStructure(&quot;626A7F1FA45EB8C33542A6A85BEBB0C2&quot;)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9124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81</xdr:row>
      <xdr:rowOff>25400</xdr:rowOff>
    </xdr:from>
    <xdr:to>
      <xdr:col>5</xdr:col>
      <xdr:colOff>2536825</xdr:colOff>
      <xdr:row>81</xdr:row>
      <xdr:rowOff>336550</xdr:rowOff>
    </xdr:to>
    <xdr:pic>
      <xdr:nvPicPr>
        <xdr:cNvPr id="81" name="$F$82" descr="=JCSYSStructure(&quot;3285D16C3B40C510B7876681D5CC47E9&quot;)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9486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82</xdr:row>
      <xdr:rowOff>25400</xdr:rowOff>
    </xdr:from>
    <xdr:to>
      <xdr:col>5</xdr:col>
      <xdr:colOff>2536825</xdr:colOff>
      <xdr:row>82</xdr:row>
      <xdr:rowOff>336550</xdr:rowOff>
    </xdr:to>
    <xdr:pic>
      <xdr:nvPicPr>
        <xdr:cNvPr id="82" name="$F$83" descr="=JCSYSStructure(&quot;19951D6468E215529B4CAB8FE2EC5D87&quot;)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29848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83</xdr:row>
      <xdr:rowOff>25400</xdr:rowOff>
    </xdr:from>
    <xdr:to>
      <xdr:col>5</xdr:col>
      <xdr:colOff>2536825</xdr:colOff>
      <xdr:row>83</xdr:row>
      <xdr:rowOff>336550</xdr:rowOff>
    </xdr:to>
    <xdr:pic>
      <xdr:nvPicPr>
        <xdr:cNvPr id="83" name="$F$84" descr="=JCSYSStructure(&quot;E4958F3A377BC21F317A1F47624F1B01&quot;)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0210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84</xdr:row>
      <xdr:rowOff>25400</xdr:rowOff>
    </xdr:from>
    <xdr:to>
      <xdr:col>5</xdr:col>
      <xdr:colOff>2536825</xdr:colOff>
      <xdr:row>84</xdr:row>
      <xdr:rowOff>336550</xdr:rowOff>
    </xdr:to>
    <xdr:pic>
      <xdr:nvPicPr>
        <xdr:cNvPr id="84" name="$F$85" descr="=JCSYSStructure(&quot;2CEF2416B5451D143023A05CE9E570CC&quot;)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0572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85</xdr:row>
      <xdr:rowOff>25400</xdr:rowOff>
    </xdr:from>
    <xdr:to>
      <xdr:col>5</xdr:col>
      <xdr:colOff>2536825</xdr:colOff>
      <xdr:row>85</xdr:row>
      <xdr:rowOff>336550</xdr:rowOff>
    </xdr:to>
    <xdr:pic>
      <xdr:nvPicPr>
        <xdr:cNvPr id="85" name="$F$86" descr="=JCSYSStructure(&quot;AC4F0E01DEBDFDDD41054251E0A6CC52&quot;)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0934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86</xdr:row>
      <xdr:rowOff>25400</xdr:rowOff>
    </xdr:from>
    <xdr:to>
      <xdr:col>5</xdr:col>
      <xdr:colOff>2536825</xdr:colOff>
      <xdr:row>86</xdr:row>
      <xdr:rowOff>336550</xdr:rowOff>
    </xdr:to>
    <xdr:pic>
      <xdr:nvPicPr>
        <xdr:cNvPr id="86" name="$F$87" descr="=JCSYSStructure(&quot;3090BDC7E33DE5CA6DBBD4B41591E08E&quot;)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1295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87</xdr:row>
      <xdr:rowOff>25400</xdr:rowOff>
    </xdr:from>
    <xdr:to>
      <xdr:col>5</xdr:col>
      <xdr:colOff>2536825</xdr:colOff>
      <xdr:row>87</xdr:row>
      <xdr:rowOff>336550</xdr:rowOff>
    </xdr:to>
    <xdr:pic>
      <xdr:nvPicPr>
        <xdr:cNvPr id="87" name="$F$88" descr="=JCSYSStructure(&quot;C87FB89EAB74CE241F9F25502982A38B&quot;)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1657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88</xdr:row>
      <xdr:rowOff>25400</xdr:rowOff>
    </xdr:from>
    <xdr:to>
      <xdr:col>5</xdr:col>
      <xdr:colOff>2536825</xdr:colOff>
      <xdr:row>88</xdr:row>
      <xdr:rowOff>336550</xdr:rowOff>
    </xdr:to>
    <xdr:pic>
      <xdr:nvPicPr>
        <xdr:cNvPr id="88" name="$F$89" descr="=JCSYSStructure(&quot;A3C6BBCFD9BB8EAFED73843E1D85147B&quot;)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2019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89</xdr:row>
      <xdr:rowOff>25400</xdr:rowOff>
    </xdr:from>
    <xdr:to>
      <xdr:col>5</xdr:col>
      <xdr:colOff>2536825</xdr:colOff>
      <xdr:row>89</xdr:row>
      <xdr:rowOff>336550</xdr:rowOff>
    </xdr:to>
    <xdr:pic>
      <xdr:nvPicPr>
        <xdr:cNvPr id="89" name="$F$90" descr="=JCSYSStructure(&quot;AB66C64C4CAA6E71B2D65373CA52B5C5&quot;)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2381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90</xdr:row>
      <xdr:rowOff>25400</xdr:rowOff>
    </xdr:from>
    <xdr:to>
      <xdr:col>5</xdr:col>
      <xdr:colOff>2536825</xdr:colOff>
      <xdr:row>90</xdr:row>
      <xdr:rowOff>336550</xdr:rowOff>
    </xdr:to>
    <xdr:pic>
      <xdr:nvPicPr>
        <xdr:cNvPr id="90" name="$F$91" descr="=JCSYSStructure(&quot;D62818B901F7BEA7DAE28D31C38270C4&quot;)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2743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91</xdr:row>
      <xdr:rowOff>25400</xdr:rowOff>
    </xdr:from>
    <xdr:to>
      <xdr:col>5</xdr:col>
      <xdr:colOff>2536825</xdr:colOff>
      <xdr:row>91</xdr:row>
      <xdr:rowOff>336550</xdr:rowOff>
    </xdr:to>
    <xdr:pic>
      <xdr:nvPicPr>
        <xdr:cNvPr id="91" name="$F$92" descr="=JCSYSStructure(&quot;2046B2D6BA070AEAC9B6AF140C1CAF47&quot;)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3105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92</xdr:row>
      <xdr:rowOff>25400</xdr:rowOff>
    </xdr:from>
    <xdr:to>
      <xdr:col>5</xdr:col>
      <xdr:colOff>2536825</xdr:colOff>
      <xdr:row>92</xdr:row>
      <xdr:rowOff>336550</xdr:rowOff>
    </xdr:to>
    <xdr:pic>
      <xdr:nvPicPr>
        <xdr:cNvPr id="92" name="$F$93" descr="=JCSYSStructure(&quot;B12D2FB520F8B8627ADF5832987D581A&quot;)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3467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93</xdr:row>
      <xdr:rowOff>25400</xdr:rowOff>
    </xdr:from>
    <xdr:to>
      <xdr:col>5</xdr:col>
      <xdr:colOff>2536825</xdr:colOff>
      <xdr:row>93</xdr:row>
      <xdr:rowOff>336550</xdr:rowOff>
    </xdr:to>
    <xdr:pic>
      <xdr:nvPicPr>
        <xdr:cNvPr id="93" name="$F$94" descr="=JCSYSStructure(&quot;9A8FB9233F59316C917160090A3C4A81&quot;)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3829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94</xdr:row>
      <xdr:rowOff>25400</xdr:rowOff>
    </xdr:from>
    <xdr:to>
      <xdr:col>5</xdr:col>
      <xdr:colOff>2536825</xdr:colOff>
      <xdr:row>94</xdr:row>
      <xdr:rowOff>336550</xdr:rowOff>
    </xdr:to>
    <xdr:pic>
      <xdr:nvPicPr>
        <xdr:cNvPr id="94" name="$F$95" descr="=JCSYSStructure(&quot;7FBFFBA08803B00B5F27FF0044A08CFE&quot;)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4191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95</xdr:row>
      <xdr:rowOff>25400</xdr:rowOff>
    </xdr:from>
    <xdr:to>
      <xdr:col>5</xdr:col>
      <xdr:colOff>2536825</xdr:colOff>
      <xdr:row>95</xdr:row>
      <xdr:rowOff>336550</xdr:rowOff>
    </xdr:to>
    <xdr:pic>
      <xdr:nvPicPr>
        <xdr:cNvPr id="95" name="$F$96" descr="=JCSYSStructure(&quot;5AFE346CEF639C79D42A813E6F29B195&quot;)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4553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96</xdr:row>
      <xdr:rowOff>25400</xdr:rowOff>
    </xdr:from>
    <xdr:to>
      <xdr:col>5</xdr:col>
      <xdr:colOff>2536825</xdr:colOff>
      <xdr:row>96</xdr:row>
      <xdr:rowOff>336550</xdr:rowOff>
    </xdr:to>
    <xdr:pic>
      <xdr:nvPicPr>
        <xdr:cNvPr id="96" name="$F$97" descr="=JCSYSStructure(&quot;4E6F686E231A309E695522894D330AA2&quot;)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4915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97</xdr:row>
      <xdr:rowOff>25400</xdr:rowOff>
    </xdr:from>
    <xdr:to>
      <xdr:col>5</xdr:col>
      <xdr:colOff>2536825</xdr:colOff>
      <xdr:row>97</xdr:row>
      <xdr:rowOff>336550</xdr:rowOff>
    </xdr:to>
    <xdr:pic>
      <xdr:nvPicPr>
        <xdr:cNvPr id="97" name="$F$98" descr="=JCSYSStructure(&quot;C6A3CC8FFF606E8E341B2D58DDCFBA06&quot;)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5277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98</xdr:row>
      <xdr:rowOff>25400</xdr:rowOff>
    </xdr:from>
    <xdr:to>
      <xdr:col>5</xdr:col>
      <xdr:colOff>2536825</xdr:colOff>
      <xdr:row>98</xdr:row>
      <xdr:rowOff>336550</xdr:rowOff>
    </xdr:to>
    <xdr:pic>
      <xdr:nvPicPr>
        <xdr:cNvPr id="98" name="$F$99" descr="=JCSYSStructure(&quot;AD390AB6E1D9866EFB384DCF247C7D27&quot;)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5639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99</xdr:row>
      <xdr:rowOff>25400</xdr:rowOff>
    </xdr:from>
    <xdr:to>
      <xdr:col>5</xdr:col>
      <xdr:colOff>2536825</xdr:colOff>
      <xdr:row>99</xdr:row>
      <xdr:rowOff>336550</xdr:rowOff>
    </xdr:to>
    <xdr:pic>
      <xdr:nvPicPr>
        <xdr:cNvPr id="99" name="$F$100" descr="=JCSYSStructure(&quot;51BEA1AA567864D1052E9C448861BEF2&quot;)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6001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100</xdr:row>
      <xdr:rowOff>25400</xdr:rowOff>
    </xdr:from>
    <xdr:to>
      <xdr:col>5</xdr:col>
      <xdr:colOff>2536825</xdr:colOff>
      <xdr:row>100</xdr:row>
      <xdr:rowOff>336550</xdr:rowOff>
    </xdr:to>
    <xdr:pic>
      <xdr:nvPicPr>
        <xdr:cNvPr id="100" name="$F$101" descr="=JCSYSStructure(&quot;5142BF5E909AB8E98894DE64D5BD7900&quot;)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6363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101</xdr:row>
      <xdr:rowOff>25400</xdr:rowOff>
    </xdr:from>
    <xdr:to>
      <xdr:col>5</xdr:col>
      <xdr:colOff>2536825</xdr:colOff>
      <xdr:row>101</xdr:row>
      <xdr:rowOff>336550</xdr:rowOff>
    </xdr:to>
    <xdr:pic>
      <xdr:nvPicPr>
        <xdr:cNvPr id="101" name="$F$102" descr="=JCSYSStructure(&quot;E8DF16D9F05F30D64972CC21567341D2&quot;)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6725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102</xdr:row>
      <xdr:rowOff>25400</xdr:rowOff>
    </xdr:from>
    <xdr:to>
      <xdr:col>5</xdr:col>
      <xdr:colOff>2536825</xdr:colOff>
      <xdr:row>102</xdr:row>
      <xdr:rowOff>336550</xdr:rowOff>
    </xdr:to>
    <xdr:pic>
      <xdr:nvPicPr>
        <xdr:cNvPr id="102" name="$F$103" descr="=JCSYSStructure(&quot;FB9B7C7C56D416CE163AF81AC053DA4B&quot;)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7087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103</xdr:row>
      <xdr:rowOff>25400</xdr:rowOff>
    </xdr:from>
    <xdr:to>
      <xdr:col>5</xdr:col>
      <xdr:colOff>2536825</xdr:colOff>
      <xdr:row>103</xdr:row>
      <xdr:rowOff>336550</xdr:rowOff>
    </xdr:to>
    <xdr:pic>
      <xdr:nvPicPr>
        <xdr:cNvPr id="103" name="$F$104" descr="=JCSYSStructure(&quot;344121D464C1655596F9CCE651BEC5AC&quot;)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7449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104</xdr:row>
      <xdr:rowOff>25400</xdr:rowOff>
    </xdr:from>
    <xdr:to>
      <xdr:col>5</xdr:col>
      <xdr:colOff>2536825</xdr:colOff>
      <xdr:row>104</xdr:row>
      <xdr:rowOff>336550</xdr:rowOff>
    </xdr:to>
    <xdr:pic>
      <xdr:nvPicPr>
        <xdr:cNvPr id="104" name="$F$105" descr="=JCSYSStructure(&quot;19CCB94615BC4B9591CE044AFB17E704&quot;)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7811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105</xdr:row>
      <xdr:rowOff>25400</xdr:rowOff>
    </xdr:from>
    <xdr:to>
      <xdr:col>5</xdr:col>
      <xdr:colOff>2536825</xdr:colOff>
      <xdr:row>105</xdr:row>
      <xdr:rowOff>336550</xdr:rowOff>
    </xdr:to>
    <xdr:pic>
      <xdr:nvPicPr>
        <xdr:cNvPr id="105" name="$F$106" descr="=JCSYSStructure(&quot;B2EBEC94CD24FEA957F5D30E728A6827&quot;)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8173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106</xdr:row>
      <xdr:rowOff>25400</xdr:rowOff>
    </xdr:from>
    <xdr:to>
      <xdr:col>5</xdr:col>
      <xdr:colOff>2536825</xdr:colOff>
      <xdr:row>106</xdr:row>
      <xdr:rowOff>336550</xdr:rowOff>
    </xdr:to>
    <xdr:pic>
      <xdr:nvPicPr>
        <xdr:cNvPr id="106" name="$F$107" descr="=JCSYSStructure(&quot;070D8C9B17026970A44414526F347761&quot;)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8534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107</xdr:row>
      <xdr:rowOff>25400</xdr:rowOff>
    </xdr:from>
    <xdr:to>
      <xdr:col>5</xdr:col>
      <xdr:colOff>2536825</xdr:colOff>
      <xdr:row>107</xdr:row>
      <xdr:rowOff>336550</xdr:rowOff>
    </xdr:to>
    <xdr:pic>
      <xdr:nvPicPr>
        <xdr:cNvPr id="107" name="$F$108" descr="=JCSYSStructure(&quot;88FE66AB5AD257889026BCD6DCBD0EFC&quot;)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8896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108</xdr:row>
      <xdr:rowOff>25400</xdr:rowOff>
    </xdr:from>
    <xdr:to>
      <xdr:col>5</xdr:col>
      <xdr:colOff>2536825</xdr:colOff>
      <xdr:row>108</xdr:row>
      <xdr:rowOff>336550</xdr:rowOff>
    </xdr:to>
    <xdr:pic>
      <xdr:nvPicPr>
        <xdr:cNvPr id="108" name="$F$109" descr="=JCSYSStructure(&quot;613793C49DEAD319ECD2DA8E78EE5F5D&quot;)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9258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109</xdr:row>
      <xdr:rowOff>25400</xdr:rowOff>
    </xdr:from>
    <xdr:to>
      <xdr:col>5</xdr:col>
      <xdr:colOff>2536825</xdr:colOff>
      <xdr:row>109</xdr:row>
      <xdr:rowOff>336550</xdr:rowOff>
    </xdr:to>
    <xdr:pic>
      <xdr:nvPicPr>
        <xdr:cNvPr id="109" name="$F$110" descr="=JCSYSStructure(&quot;77B316B8883485025D0D0026700EC423&quot;)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9620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110</xdr:row>
      <xdr:rowOff>25400</xdr:rowOff>
    </xdr:from>
    <xdr:to>
      <xdr:col>5</xdr:col>
      <xdr:colOff>2536825</xdr:colOff>
      <xdr:row>110</xdr:row>
      <xdr:rowOff>336550</xdr:rowOff>
    </xdr:to>
    <xdr:pic>
      <xdr:nvPicPr>
        <xdr:cNvPr id="110" name="$F$111" descr="=JCSYSStructure(&quot;3590D406E38633E4D2758B4666D2DFC4&quot;)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39982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111</xdr:row>
      <xdr:rowOff>25400</xdr:rowOff>
    </xdr:from>
    <xdr:to>
      <xdr:col>5</xdr:col>
      <xdr:colOff>2536825</xdr:colOff>
      <xdr:row>111</xdr:row>
      <xdr:rowOff>336550</xdr:rowOff>
    </xdr:to>
    <xdr:pic>
      <xdr:nvPicPr>
        <xdr:cNvPr id="111" name="$F$112" descr="=JCSYSStructure(&quot;D66E8EABCBA5A80993234476D5F3A269&quot;)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0344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112</xdr:row>
      <xdr:rowOff>25400</xdr:rowOff>
    </xdr:from>
    <xdr:to>
      <xdr:col>5</xdr:col>
      <xdr:colOff>2536825</xdr:colOff>
      <xdr:row>112</xdr:row>
      <xdr:rowOff>336550</xdr:rowOff>
    </xdr:to>
    <xdr:pic>
      <xdr:nvPicPr>
        <xdr:cNvPr id="112" name="$F$113" descr="=JCSYSStructure(&quot;52AC4EE1EE9D213CA713C65AB89D5DB9&quot;)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0706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113</xdr:row>
      <xdr:rowOff>25400</xdr:rowOff>
    </xdr:from>
    <xdr:to>
      <xdr:col>5</xdr:col>
      <xdr:colOff>2536825</xdr:colOff>
      <xdr:row>113</xdr:row>
      <xdr:rowOff>336550</xdr:rowOff>
    </xdr:to>
    <xdr:pic>
      <xdr:nvPicPr>
        <xdr:cNvPr id="113" name="$F$114" descr="=JCSYSStructure(&quot;76B00AB4F575B24BB0568165EB8DE0FA&quot;)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1068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114</xdr:row>
      <xdr:rowOff>25400</xdr:rowOff>
    </xdr:from>
    <xdr:to>
      <xdr:col>5</xdr:col>
      <xdr:colOff>2536825</xdr:colOff>
      <xdr:row>114</xdr:row>
      <xdr:rowOff>336550</xdr:rowOff>
    </xdr:to>
    <xdr:pic>
      <xdr:nvPicPr>
        <xdr:cNvPr id="114" name="$F$115" descr="=JCSYSStructure(&quot;C5C024F9144E4226F610FCD57C0C4D9F&quot;)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1430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115</xdr:row>
      <xdr:rowOff>25400</xdr:rowOff>
    </xdr:from>
    <xdr:to>
      <xdr:col>5</xdr:col>
      <xdr:colOff>2536825</xdr:colOff>
      <xdr:row>115</xdr:row>
      <xdr:rowOff>336550</xdr:rowOff>
    </xdr:to>
    <xdr:pic>
      <xdr:nvPicPr>
        <xdr:cNvPr id="115" name="$F$116" descr="=JCSYSStructure(&quot;D9352550AF61D702583DEEEF347D4BAD&quot;)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1792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116</xdr:row>
      <xdr:rowOff>25400</xdr:rowOff>
    </xdr:from>
    <xdr:to>
      <xdr:col>5</xdr:col>
      <xdr:colOff>2536825</xdr:colOff>
      <xdr:row>116</xdr:row>
      <xdr:rowOff>336550</xdr:rowOff>
    </xdr:to>
    <xdr:pic>
      <xdr:nvPicPr>
        <xdr:cNvPr id="116" name="$F$117" descr="=JCSYSStructure(&quot;84C0CF0BD80B16A0D28129791A3A67AB&quot;)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2154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117</xdr:row>
      <xdr:rowOff>25400</xdr:rowOff>
    </xdr:from>
    <xdr:to>
      <xdr:col>5</xdr:col>
      <xdr:colOff>2536825</xdr:colOff>
      <xdr:row>117</xdr:row>
      <xdr:rowOff>336550</xdr:rowOff>
    </xdr:to>
    <xdr:pic>
      <xdr:nvPicPr>
        <xdr:cNvPr id="117" name="$F$118" descr="=JCSYSStructure(&quot;D08AFA2D37A4BA9418A03F6B0C22ED86&quot;)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2516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118</xdr:row>
      <xdr:rowOff>25400</xdr:rowOff>
    </xdr:from>
    <xdr:to>
      <xdr:col>5</xdr:col>
      <xdr:colOff>2536825</xdr:colOff>
      <xdr:row>118</xdr:row>
      <xdr:rowOff>336550</xdr:rowOff>
    </xdr:to>
    <xdr:pic>
      <xdr:nvPicPr>
        <xdr:cNvPr id="118" name="$F$119" descr="=JCSYSStructure(&quot;8423516B45CFCAE74D8C59FE5DB89FE5&quot;)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2878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119</xdr:row>
      <xdr:rowOff>25400</xdr:rowOff>
    </xdr:from>
    <xdr:to>
      <xdr:col>5</xdr:col>
      <xdr:colOff>2536825</xdr:colOff>
      <xdr:row>119</xdr:row>
      <xdr:rowOff>336550</xdr:rowOff>
    </xdr:to>
    <xdr:pic>
      <xdr:nvPicPr>
        <xdr:cNvPr id="119" name="$F$120" descr="=JCSYSStructure(&quot;94C79C1792D01B005BB79C147E5BA177&quot;)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3240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120</xdr:row>
      <xdr:rowOff>25400</xdr:rowOff>
    </xdr:from>
    <xdr:to>
      <xdr:col>5</xdr:col>
      <xdr:colOff>2536825</xdr:colOff>
      <xdr:row>120</xdr:row>
      <xdr:rowOff>336550</xdr:rowOff>
    </xdr:to>
    <xdr:pic>
      <xdr:nvPicPr>
        <xdr:cNvPr id="120" name="$F$121" descr="=JCSYSStructure(&quot;CB48075C8AF291B54ECD0B3BFBF423AA&quot;)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3602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121</xdr:row>
      <xdr:rowOff>25400</xdr:rowOff>
    </xdr:from>
    <xdr:to>
      <xdr:col>5</xdr:col>
      <xdr:colOff>2536825</xdr:colOff>
      <xdr:row>121</xdr:row>
      <xdr:rowOff>336550</xdr:rowOff>
    </xdr:to>
    <xdr:pic>
      <xdr:nvPicPr>
        <xdr:cNvPr id="121" name="$F$122" descr="=JCSYSStructure(&quot;00C036FB60E235721D33BDD45443F9D1&quot;)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3964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122</xdr:row>
      <xdr:rowOff>25400</xdr:rowOff>
    </xdr:from>
    <xdr:to>
      <xdr:col>5</xdr:col>
      <xdr:colOff>2536825</xdr:colOff>
      <xdr:row>122</xdr:row>
      <xdr:rowOff>336550</xdr:rowOff>
    </xdr:to>
    <xdr:pic>
      <xdr:nvPicPr>
        <xdr:cNvPr id="122" name="$F$123" descr="=JCSYSStructure(&quot;A83FAD97D048A7C8B0E8ADC5489E10E7&quot;)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4326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123</xdr:row>
      <xdr:rowOff>25400</xdr:rowOff>
    </xdr:from>
    <xdr:to>
      <xdr:col>5</xdr:col>
      <xdr:colOff>2536825</xdr:colOff>
      <xdr:row>123</xdr:row>
      <xdr:rowOff>336550</xdr:rowOff>
    </xdr:to>
    <xdr:pic>
      <xdr:nvPicPr>
        <xdr:cNvPr id="123" name="$F$124" descr="=JCSYSStructure(&quot;20B8091C12C85B5E54C785AB667AFEBB&quot;)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4688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124</xdr:row>
      <xdr:rowOff>25400</xdr:rowOff>
    </xdr:from>
    <xdr:to>
      <xdr:col>5</xdr:col>
      <xdr:colOff>2536825</xdr:colOff>
      <xdr:row>124</xdr:row>
      <xdr:rowOff>336550</xdr:rowOff>
    </xdr:to>
    <xdr:pic>
      <xdr:nvPicPr>
        <xdr:cNvPr id="124" name="$F$125" descr="=JCSYSStructure(&quot;2E3AD27134E128B62F76F892A68215B3&quot;)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5050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125</xdr:row>
      <xdr:rowOff>25400</xdr:rowOff>
    </xdr:from>
    <xdr:to>
      <xdr:col>5</xdr:col>
      <xdr:colOff>2536825</xdr:colOff>
      <xdr:row>125</xdr:row>
      <xdr:rowOff>336550</xdr:rowOff>
    </xdr:to>
    <xdr:pic>
      <xdr:nvPicPr>
        <xdr:cNvPr id="125" name="$F$126" descr="=JCSYSStructure(&quot;B7B43202C073248F3D3073A66DFE94F6&quot;)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5412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126</xdr:row>
      <xdr:rowOff>25400</xdr:rowOff>
    </xdr:from>
    <xdr:to>
      <xdr:col>5</xdr:col>
      <xdr:colOff>2536825</xdr:colOff>
      <xdr:row>126</xdr:row>
      <xdr:rowOff>336550</xdr:rowOff>
    </xdr:to>
    <xdr:pic>
      <xdr:nvPicPr>
        <xdr:cNvPr id="126" name="$F$127" descr="=JCSYSStructure(&quot;48768FF59F261D720E3CD073C8665558&quot;)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5773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127</xdr:row>
      <xdr:rowOff>25400</xdr:rowOff>
    </xdr:from>
    <xdr:to>
      <xdr:col>5</xdr:col>
      <xdr:colOff>2536825</xdr:colOff>
      <xdr:row>127</xdr:row>
      <xdr:rowOff>336550</xdr:rowOff>
    </xdr:to>
    <xdr:pic>
      <xdr:nvPicPr>
        <xdr:cNvPr id="127" name="$F$128" descr="=JCSYSStructure(&quot;1684EA92234BAF0D9A87517D42B408C5&quot;)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6135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128</xdr:row>
      <xdr:rowOff>25400</xdr:rowOff>
    </xdr:from>
    <xdr:to>
      <xdr:col>5</xdr:col>
      <xdr:colOff>2536825</xdr:colOff>
      <xdr:row>128</xdr:row>
      <xdr:rowOff>336550</xdr:rowOff>
    </xdr:to>
    <xdr:pic>
      <xdr:nvPicPr>
        <xdr:cNvPr id="128" name="$F$129" descr="=JCSYSStructure(&quot;8B740111CEADC012F58F77C69E8402BE&quot;)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6497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129</xdr:row>
      <xdr:rowOff>25400</xdr:rowOff>
    </xdr:from>
    <xdr:to>
      <xdr:col>5</xdr:col>
      <xdr:colOff>2536825</xdr:colOff>
      <xdr:row>129</xdr:row>
      <xdr:rowOff>336550</xdr:rowOff>
    </xdr:to>
    <xdr:pic>
      <xdr:nvPicPr>
        <xdr:cNvPr id="129" name="$F$130" descr="=JCSYSStructure(&quot;2FB3111E3EF94151E8D9C577A3C71996&quot;)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6859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130</xdr:row>
      <xdr:rowOff>25400</xdr:rowOff>
    </xdr:from>
    <xdr:to>
      <xdr:col>5</xdr:col>
      <xdr:colOff>2536825</xdr:colOff>
      <xdr:row>130</xdr:row>
      <xdr:rowOff>336550</xdr:rowOff>
    </xdr:to>
    <xdr:pic>
      <xdr:nvPicPr>
        <xdr:cNvPr id="130" name="$F$131" descr="=JCSYSStructure(&quot;287D8A90096D857351BA967C3748F32C&quot;)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7221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131</xdr:row>
      <xdr:rowOff>25400</xdr:rowOff>
    </xdr:from>
    <xdr:to>
      <xdr:col>5</xdr:col>
      <xdr:colOff>2536825</xdr:colOff>
      <xdr:row>131</xdr:row>
      <xdr:rowOff>336550</xdr:rowOff>
    </xdr:to>
    <xdr:pic>
      <xdr:nvPicPr>
        <xdr:cNvPr id="131" name="$F$132" descr="=JCSYSStructure(&quot;0F95AEAF7D655B0E214A0F8DA7C3EF1F&quot;)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7583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132</xdr:row>
      <xdr:rowOff>25400</xdr:rowOff>
    </xdr:from>
    <xdr:to>
      <xdr:col>5</xdr:col>
      <xdr:colOff>2536825</xdr:colOff>
      <xdr:row>132</xdr:row>
      <xdr:rowOff>336550</xdr:rowOff>
    </xdr:to>
    <xdr:pic>
      <xdr:nvPicPr>
        <xdr:cNvPr id="132" name="$F$133" descr="=JCSYSStructure(&quot;FAF34D72D2D2244999F2F9CB9BB50407&quot;)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7945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133</xdr:row>
      <xdr:rowOff>25400</xdr:rowOff>
    </xdr:from>
    <xdr:to>
      <xdr:col>5</xdr:col>
      <xdr:colOff>2536825</xdr:colOff>
      <xdr:row>133</xdr:row>
      <xdr:rowOff>336550</xdr:rowOff>
    </xdr:to>
    <xdr:pic>
      <xdr:nvPicPr>
        <xdr:cNvPr id="133" name="$F$134" descr="=JCSYSStructure(&quot;2A2A48C9EF59B2DF5E66957D8D28509D&quot;)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8307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134</xdr:row>
      <xdr:rowOff>25400</xdr:rowOff>
    </xdr:from>
    <xdr:to>
      <xdr:col>5</xdr:col>
      <xdr:colOff>2536825</xdr:colOff>
      <xdr:row>134</xdr:row>
      <xdr:rowOff>336550</xdr:rowOff>
    </xdr:to>
    <xdr:pic>
      <xdr:nvPicPr>
        <xdr:cNvPr id="134" name="$F$135" descr="=JCSYSStructure(&quot;99CA38E2A11DA21FA28A37D25161AB28&quot;)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8669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135</xdr:row>
      <xdr:rowOff>25400</xdr:rowOff>
    </xdr:from>
    <xdr:to>
      <xdr:col>5</xdr:col>
      <xdr:colOff>2536825</xdr:colOff>
      <xdr:row>135</xdr:row>
      <xdr:rowOff>336550</xdr:rowOff>
    </xdr:to>
    <xdr:pic>
      <xdr:nvPicPr>
        <xdr:cNvPr id="135" name="$F$136" descr="=JCSYSStructure(&quot;4EDC7E4CD0809D592734395F51647161&quot;)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9031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136</xdr:row>
      <xdr:rowOff>25400</xdr:rowOff>
    </xdr:from>
    <xdr:to>
      <xdr:col>5</xdr:col>
      <xdr:colOff>2536825</xdr:colOff>
      <xdr:row>136</xdr:row>
      <xdr:rowOff>336550</xdr:rowOff>
    </xdr:to>
    <xdr:pic>
      <xdr:nvPicPr>
        <xdr:cNvPr id="136" name="$F$137" descr="=JCSYSStructure(&quot;21E91594C8605641C5AF6DA0F65EC04F&quot;)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9393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137</xdr:row>
      <xdr:rowOff>25400</xdr:rowOff>
    </xdr:from>
    <xdr:to>
      <xdr:col>5</xdr:col>
      <xdr:colOff>2536825</xdr:colOff>
      <xdr:row>137</xdr:row>
      <xdr:rowOff>336550</xdr:rowOff>
    </xdr:to>
    <xdr:pic>
      <xdr:nvPicPr>
        <xdr:cNvPr id="137" name="$F$138" descr="=JCSYSStructure(&quot;045573CB5031C000D94BDC50C340720D&quot;)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49755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138</xdr:row>
      <xdr:rowOff>25400</xdr:rowOff>
    </xdr:from>
    <xdr:to>
      <xdr:col>5</xdr:col>
      <xdr:colOff>2536825</xdr:colOff>
      <xdr:row>138</xdr:row>
      <xdr:rowOff>336550</xdr:rowOff>
    </xdr:to>
    <xdr:pic>
      <xdr:nvPicPr>
        <xdr:cNvPr id="138" name="$F$139" descr="=JCSYSStructure(&quot;97B388A69ACC70CDC215F1A533A21D09&quot;)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0117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139</xdr:row>
      <xdr:rowOff>25400</xdr:rowOff>
    </xdr:from>
    <xdr:to>
      <xdr:col>5</xdr:col>
      <xdr:colOff>2536825</xdr:colOff>
      <xdr:row>139</xdr:row>
      <xdr:rowOff>336550</xdr:rowOff>
    </xdr:to>
    <xdr:pic>
      <xdr:nvPicPr>
        <xdr:cNvPr id="139" name="$F$140" descr="=JCSYSStructure(&quot;88D33C5AF0E398B081331244E2482A35&quot;)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0479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140</xdr:row>
      <xdr:rowOff>25400</xdr:rowOff>
    </xdr:from>
    <xdr:to>
      <xdr:col>5</xdr:col>
      <xdr:colOff>2536825</xdr:colOff>
      <xdr:row>140</xdr:row>
      <xdr:rowOff>336550</xdr:rowOff>
    </xdr:to>
    <xdr:pic>
      <xdr:nvPicPr>
        <xdr:cNvPr id="140" name="$F$141" descr="=JCSYSStructure(&quot;89C6CCEF3B95EB36A77D9AE6AEB35F41&quot;)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0841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141</xdr:row>
      <xdr:rowOff>25400</xdr:rowOff>
    </xdr:from>
    <xdr:to>
      <xdr:col>5</xdr:col>
      <xdr:colOff>2536825</xdr:colOff>
      <xdr:row>141</xdr:row>
      <xdr:rowOff>336550</xdr:rowOff>
    </xdr:to>
    <xdr:pic>
      <xdr:nvPicPr>
        <xdr:cNvPr id="141" name="$F$142" descr="=JCSYSStructure(&quot;7C898B846F7B65866E7F7CAE8F933651&quot;)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1203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142</xdr:row>
      <xdr:rowOff>25400</xdr:rowOff>
    </xdr:from>
    <xdr:to>
      <xdr:col>5</xdr:col>
      <xdr:colOff>2536825</xdr:colOff>
      <xdr:row>142</xdr:row>
      <xdr:rowOff>336550</xdr:rowOff>
    </xdr:to>
    <xdr:pic>
      <xdr:nvPicPr>
        <xdr:cNvPr id="142" name="$F$143" descr="=JCSYSStructure(&quot;98F39F982AA461426BDE7620236B298D&quot;)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1565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143</xdr:row>
      <xdr:rowOff>25400</xdr:rowOff>
    </xdr:from>
    <xdr:to>
      <xdr:col>5</xdr:col>
      <xdr:colOff>2536825</xdr:colOff>
      <xdr:row>143</xdr:row>
      <xdr:rowOff>336550</xdr:rowOff>
    </xdr:to>
    <xdr:pic>
      <xdr:nvPicPr>
        <xdr:cNvPr id="143" name="$F$144" descr="=JCSYSStructure(&quot;EA0D8206F790E74FBDB3B71C6197209F&quot;)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1927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144</xdr:row>
      <xdr:rowOff>25400</xdr:rowOff>
    </xdr:from>
    <xdr:to>
      <xdr:col>5</xdr:col>
      <xdr:colOff>2536825</xdr:colOff>
      <xdr:row>144</xdr:row>
      <xdr:rowOff>336550</xdr:rowOff>
    </xdr:to>
    <xdr:pic>
      <xdr:nvPicPr>
        <xdr:cNvPr id="144" name="$F$145" descr="=JCSYSStructure(&quot;09E3161FD1605F5359146D00E5DA1CB8&quot;)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2289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145</xdr:row>
      <xdr:rowOff>25400</xdr:rowOff>
    </xdr:from>
    <xdr:to>
      <xdr:col>5</xdr:col>
      <xdr:colOff>2536825</xdr:colOff>
      <xdr:row>145</xdr:row>
      <xdr:rowOff>336550</xdr:rowOff>
    </xdr:to>
    <xdr:pic>
      <xdr:nvPicPr>
        <xdr:cNvPr id="145" name="$F$146" descr="=JCSYSStructure(&quot;01B322D6A09FD96B621C426CCAEC2CD2&quot;)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2651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146</xdr:row>
      <xdr:rowOff>25400</xdr:rowOff>
    </xdr:from>
    <xdr:to>
      <xdr:col>5</xdr:col>
      <xdr:colOff>2536825</xdr:colOff>
      <xdr:row>146</xdr:row>
      <xdr:rowOff>336550</xdr:rowOff>
    </xdr:to>
    <xdr:pic>
      <xdr:nvPicPr>
        <xdr:cNvPr id="146" name="$F$147" descr="=JCSYSStructure(&quot;8285BAB14FD13325EF5DB3874A8F31A1&quot;)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3012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147</xdr:row>
      <xdr:rowOff>25400</xdr:rowOff>
    </xdr:from>
    <xdr:to>
      <xdr:col>5</xdr:col>
      <xdr:colOff>2536825</xdr:colOff>
      <xdr:row>147</xdr:row>
      <xdr:rowOff>336550</xdr:rowOff>
    </xdr:to>
    <xdr:pic>
      <xdr:nvPicPr>
        <xdr:cNvPr id="147" name="$F$148" descr="=JCSYSStructure(&quot;770B42443AF48CD1CAE65767947FF97A&quot;)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3374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148</xdr:row>
      <xdr:rowOff>25400</xdr:rowOff>
    </xdr:from>
    <xdr:to>
      <xdr:col>5</xdr:col>
      <xdr:colOff>2536825</xdr:colOff>
      <xdr:row>148</xdr:row>
      <xdr:rowOff>336550</xdr:rowOff>
    </xdr:to>
    <xdr:pic>
      <xdr:nvPicPr>
        <xdr:cNvPr id="148" name="$F$149" descr="=JCSYSStructure(&quot;EFCF52A3F6A683E11662E1E5F1147354&quot;)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3736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149</xdr:row>
      <xdr:rowOff>25400</xdr:rowOff>
    </xdr:from>
    <xdr:to>
      <xdr:col>5</xdr:col>
      <xdr:colOff>2536825</xdr:colOff>
      <xdr:row>149</xdr:row>
      <xdr:rowOff>336550</xdr:rowOff>
    </xdr:to>
    <xdr:pic>
      <xdr:nvPicPr>
        <xdr:cNvPr id="149" name="$F$150" descr="=JCSYSStructure(&quot;513A101C770AA657A78E9BFC175A05EE&quot;)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4098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150</xdr:row>
      <xdr:rowOff>25400</xdr:rowOff>
    </xdr:from>
    <xdr:to>
      <xdr:col>5</xdr:col>
      <xdr:colOff>2536825</xdr:colOff>
      <xdr:row>150</xdr:row>
      <xdr:rowOff>336550</xdr:rowOff>
    </xdr:to>
    <xdr:pic>
      <xdr:nvPicPr>
        <xdr:cNvPr id="150" name="$F$151" descr="=JCSYSStructure(&quot;81EAD6ADE94282B499A4A44069497DEF&quot;)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4460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151</xdr:row>
      <xdr:rowOff>25400</xdr:rowOff>
    </xdr:from>
    <xdr:to>
      <xdr:col>5</xdr:col>
      <xdr:colOff>2536825</xdr:colOff>
      <xdr:row>151</xdr:row>
      <xdr:rowOff>336550</xdr:rowOff>
    </xdr:to>
    <xdr:pic>
      <xdr:nvPicPr>
        <xdr:cNvPr id="151" name="$F$152" descr="=JCSYSStructure(&quot;29E9775473F17C5062AE8B9EC9B132E8&quot;)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4822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152</xdr:row>
      <xdr:rowOff>25400</xdr:rowOff>
    </xdr:from>
    <xdr:to>
      <xdr:col>5</xdr:col>
      <xdr:colOff>2536825</xdr:colOff>
      <xdr:row>152</xdr:row>
      <xdr:rowOff>336550</xdr:rowOff>
    </xdr:to>
    <xdr:pic>
      <xdr:nvPicPr>
        <xdr:cNvPr id="152" name="$F$153" descr="=JCSYSStructure(&quot;078F549B32E4ABA70174B4B1392E64BB&quot;)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5184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153</xdr:row>
      <xdr:rowOff>25400</xdr:rowOff>
    </xdr:from>
    <xdr:to>
      <xdr:col>5</xdr:col>
      <xdr:colOff>2536825</xdr:colOff>
      <xdr:row>153</xdr:row>
      <xdr:rowOff>336550</xdr:rowOff>
    </xdr:to>
    <xdr:pic>
      <xdr:nvPicPr>
        <xdr:cNvPr id="153" name="$F$154" descr="=JCSYSStructure(&quot;E1BFC9F973F712E099681F0C0CBD1047&quot;)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5546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154</xdr:row>
      <xdr:rowOff>25400</xdr:rowOff>
    </xdr:from>
    <xdr:to>
      <xdr:col>5</xdr:col>
      <xdr:colOff>2536825</xdr:colOff>
      <xdr:row>154</xdr:row>
      <xdr:rowOff>336550</xdr:rowOff>
    </xdr:to>
    <xdr:pic>
      <xdr:nvPicPr>
        <xdr:cNvPr id="154" name="$F$155" descr="=JCSYSStructure(&quot;F2531CDF7CD0D483CB0F8AC2E3D48706&quot;)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5908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155</xdr:row>
      <xdr:rowOff>25400</xdr:rowOff>
    </xdr:from>
    <xdr:to>
      <xdr:col>5</xdr:col>
      <xdr:colOff>2536825</xdr:colOff>
      <xdr:row>155</xdr:row>
      <xdr:rowOff>336550</xdr:rowOff>
    </xdr:to>
    <xdr:pic>
      <xdr:nvPicPr>
        <xdr:cNvPr id="155" name="$F$156" descr="=JCSYSStructure(&quot;A245B7FD8328396C1135D75E1280D341&quot;)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6270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156</xdr:row>
      <xdr:rowOff>25400</xdr:rowOff>
    </xdr:from>
    <xdr:to>
      <xdr:col>5</xdr:col>
      <xdr:colOff>2536825</xdr:colOff>
      <xdr:row>156</xdr:row>
      <xdr:rowOff>336550</xdr:rowOff>
    </xdr:to>
    <xdr:pic>
      <xdr:nvPicPr>
        <xdr:cNvPr id="156" name="$F$157" descr="=JCSYSStructure(&quot;D7FFD67069D81E68BDAE44FED539F243&quot;)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6632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157</xdr:row>
      <xdr:rowOff>25400</xdr:rowOff>
    </xdr:from>
    <xdr:to>
      <xdr:col>5</xdr:col>
      <xdr:colOff>2536825</xdr:colOff>
      <xdr:row>157</xdr:row>
      <xdr:rowOff>336550</xdr:rowOff>
    </xdr:to>
    <xdr:pic>
      <xdr:nvPicPr>
        <xdr:cNvPr id="157" name="$F$158" descr="=JCSYSStructure(&quot;C712467FA74AABB497767AD7738BE5B3&quot;)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6994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158</xdr:row>
      <xdr:rowOff>25400</xdr:rowOff>
    </xdr:from>
    <xdr:to>
      <xdr:col>5</xdr:col>
      <xdr:colOff>2536825</xdr:colOff>
      <xdr:row>158</xdr:row>
      <xdr:rowOff>336550</xdr:rowOff>
    </xdr:to>
    <xdr:pic>
      <xdr:nvPicPr>
        <xdr:cNvPr id="158" name="$F$159" descr="=JCSYSStructure(&quot;47E59C273C8981B4DE1FFD1F5A047508&quot;)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7356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159</xdr:row>
      <xdr:rowOff>25400</xdr:rowOff>
    </xdr:from>
    <xdr:to>
      <xdr:col>5</xdr:col>
      <xdr:colOff>2536825</xdr:colOff>
      <xdr:row>159</xdr:row>
      <xdr:rowOff>336550</xdr:rowOff>
    </xdr:to>
    <xdr:pic>
      <xdr:nvPicPr>
        <xdr:cNvPr id="159" name="$F$160" descr="=JCSYSStructure(&quot;0B1F50BA5976540D2CDC674DE7A972EE&quot;)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7718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160</xdr:row>
      <xdr:rowOff>25400</xdr:rowOff>
    </xdr:from>
    <xdr:to>
      <xdr:col>5</xdr:col>
      <xdr:colOff>2536825</xdr:colOff>
      <xdr:row>160</xdr:row>
      <xdr:rowOff>336550</xdr:rowOff>
    </xdr:to>
    <xdr:pic>
      <xdr:nvPicPr>
        <xdr:cNvPr id="160" name="$F$161" descr="=JCSYSStructure(&quot;979341DAF8C85C4687DC22884774949C&quot;)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8080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161</xdr:row>
      <xdr:rowOff>25400</xdr:rowOff>
    </xdr:from>
    <xdr:to>
      <xdr:col>5</xdr:col>
      <xdr:colOff>2536825</xdr:colOff>
      <xdr:row>161</xdr:row>
      <xdr:rowOff>336550</xdr:rowOff>
    </xdr:to>
    <xdr:pic>
      <xdr:nvPicPr>
        <xdr:cNvPr id="161" name="$F$162" descr="=JCSYSStructure(&quot;C075A537866411EF602B61CD499D7C5E&quot;)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8442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162</xdr:row>
      <xdr:rowOff>25400</xdr:rowOff>
    </xdr:from>
    <xdr:to>
      <xdr:col>5</xdr:col>
      <xdr:colOff>2536825</xdr:colOff>
      <xdr:row>162</xdr:row>
      <xdr:rowOff>336550</xdr:rowOff>
    </xdr:to>
    <xdr:pic>
      <xdr:nvPicPr>
        <xdr:cNvPr id="162" name="$F$163" descr="=JCSYSStructure(&quot;9799C69369FD1070D304E9C5C38FD244&quot;)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8804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163</xdr:row>
      <xdr:rowOff>25400</xdr:rowOff>
    </xdr:from>
    <xdr:to>
      <xdr:col>5</xdr:col>
      <xdr:colOff>2536825</xdr:colOff>
      <xdr:row>163</xdr:row>
      <xdr:rowOff>336550</xdr:rowOff>
    </xdr:to>
    <xdr:pic>
      <xdr:nvPicPr>
        <xdr:cNvPr id="163" name="$F$164" descr="=JCSYSStructure(&quot;2EA3E01343BB3073459E08A7197AE7E4&quot;)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9166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164</xdr:row>
      <xdr:rowOff>25400</xdr:rowOff>
    </xdr:from>
    <xdr:to>
      <xdr:col>5</xdr:col>
      <xdr:colOff>2536825</xdr:colOff>
      <xdr:row>164</xdr:row>
      <xdr:rowOff>336550</xdr:rowOff>
    </xdr:to>
    <xdr:pic>
      <xdr:nvPicPr>
        <xdr:cNvPr id="164" name="$F$165" descr="=JCSYSStructure(&quot;726159A5D44BC3AB0CF6E6CDA17CE744&quot;)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9528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165</xdr:row>
      <xdr:rowOff>25400</xdr:rowOff>
    </xdr:from>
    <xdr:to>
      <xdr:col>5</xdr:col>
      <xdr:colOff>2536825</xdr:colOff>
      <xdr:row>165</xdr:row>
      <xdr:rowOff>336550</xdr:rowOff>
    </xdr:to>
    <xdr:pic>
      <xdr:nvPicPr>
        <xdr:cNvPr id="165" name="$F$166" descr="=JCSYSStructure(&quot;C7F11EDAEB754882EF49CC014B86BFD2&quot;)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59890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166</xdr:row>
      <xdr:rowOff>25400</xdr:rowOff>
    </xdr:from>
    <xdr:to>
      <xdr:col>5</xdr:col>
      <xdr:colOff>2536825</xdr:colOff>
      <xdr:row>166</xdr:row>
      <xdr:rowOff>336550</xdr:rowOff>
    </xdr:to>
    <xdr:pic>
      <xdr:nvPicPr>
        <xdr:cNvPr id="166" name="$F$167" descr="=JCSYSStructure(&quot;B2429BDEAFFEBAEE65902DE3C83FEDCB&quot;)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0251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167</xdr:row>
      <xdr:rowOff>25400</xdr:rowOff>
    </xdr:from>
    <xdr:to>
      <xdr:col>5</xdr:col>
      <xdr:colOff>2536825</xdr:colOff>
      <xdr:row>167</xdr:row>
      <xdr:rowOff>336550</xdr:rowOff>
    </xdr:to>
    <xdr:pic>
      <xdr:nvPicPr>
        <xdr:cNvPr id="167" name="$F$168" descr="=JCSYSStructure(&quot;0748339B792E25A06B14FC5D56B2E0DA&quot;)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0613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168</xdr:row>
      <xdr:rowOff>25400</xdr:rowOff>
    </xdr:from>
    <xdr:to>
      <xdr:col>5</xdr:col>
      <xdr:colOff>2536825</xdr:colOff>
      <xdr:row>168</xdr:row>
      <xdr:rowOff>336550</xdr:rowOff>
    </xdr:to>
    <xdr:pic>
      <xdr:nvPicPr>
        <xdr:cNvPr id="168" name="$F$169" descr="=JCSYSStructure(&quot;511F92602E116ACC3C6826A0055D20DF&quot;)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0975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169</xdr:row>
      <xdr:rowOff>25400</xdr:rowOff>
    </xdr:from>
    <xdr:to>
      <xdr:col>5</xdr:col>
      <xdr:colOff>2536825</xdr:colOff>
      <xdr:row>169</xdr:row>
      <xdr:rowOff>336550</xdr:rowOff>
    </xdr:to>
    <xdr:pic>
      <xdr:nvPicPr>
        <xdr:cNvPr id="169" name="$F$170" descr="=JCSYSStructure(&quot;847814DA735FEBF7CD9FC098068CAEC3&quot;)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1337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170</xdr:row>
      <xdr:rowOff>25400</xdr:rowOff>
    </xdr:from>
    <xdr:to>
      <xdr:col>5</xdr:col>
      <xdr:colOff>2536825</xdr:colOff>
      <xdr:row>170</xdr:row>
      <xdr:rowOff>336550</xdr:rowOff>
    </xdr:to>
    <xdr:pic>
      <xdr:nvPicPr>
        <xdr:cNvPr id="170" name="$F$171" descr="=JCSYSStructure(&quot;07161A4B51F8BFEB15B1ABCC0F277525&quot;)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1699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171</xdr:row>
      <xdr:rowOff>25400</xdr:rowOff>
    </xdr:from>
    <xdr:to>
      <xdr:col>5</xdr:col>
      <xdr:colOff>2536825</xdr:colOff>
      <xdr:row>171</xdr:row>
      <xdr:rowOff>336550</xdr:rowOff>
    </xdr:to>
    <xdr:pic>
      <xdr:nvPicPr>
        <xdr:cNvPr id="171" name="$F$172" descr="=JCSYSStructure(&quot;BDAD0DB833B6E33789B8FA5E5D3D0092&quot;)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2061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172</xdr:row>
      <xdr:rowOff>25400</xdr:rowOff>
    </xdr:from>
    <xdr:to>
      <xdr:col>5</xdr:col>
      <xdr:colOff>2536825</xdr:colOff>
      <xdr:row>172</xdr:row>
      <xdr:rowOff>336550</xdr:rowOff>
    </xdr:to>
    <xdr:pic>
      <xdr:nvPicPr>
        <xdr:cNvPr id="172" name="$F$173" descr="=JCSYSStructure(&quot;CF1D05DC8FD5E08930C60DD9786FEB47&quot;)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2423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173</xdr:row>
      <xdr:rowOff>25400</xdr:rowOff>
    </xdr:from>
    <xdr:to>
      <xdr:col>5</xdr:col>
      <xdr:colOff>2536825</xdr:colOff>
      <xdr:row>173</xdr:row>
      <xdr:rowOff>336550</xdr:rowOff>
    </xdr:to>
    <xdr:pic>
      <xdr:nvPicPr>
        <xdr:cNvPr id="173" name="$F$174" descr="=JCSYSStructure(&quot;B47B1A62566A95CA5B7D4EBFBDEB3A49&quot;)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2785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174</xdr:row>
      <xdr:rowOff>25400</xdr:rowOff>
    </xdr:from>
    <xdr:to>
      <xdr:col>5</xdr:col>
      <xdr:colOff>2536825</xdr:colOff>
      <xdr:row>174</xdr:row>
      <xdr:rowOff>336550</xdr:rowOff>
    </xdr:to>
    <xdr:pic>
      <xdr:nvPicPr>
        <xdr:cNvPr id="174" name="$F$175" descr="=JCSYSStructure(&quot;E2A21B38010ECB1AC2374E46761E7970&quot;)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3147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175</xdr:row>
      <xdr:rowOff>25400</xdr:rowOff>
    </xdr:from>
    <xdr:to>
      <xdr:col>5</xdr:col>
      <xdr:colOff>2536825</xdr:colOff>
      <xdr:row>175</xdr:row>
      <xdr:rowOff>336550</xdr:rowOff>
    </xdr:to>
    <xdr:pic>
      <xdr:nvPicPr>
        <xdr:cNvPr id="175" name="$F$176" descr="=JCSYSStructure(&quot;AAEE8D6A21A67C1008D0F6D58D10F5E4&quot;)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3509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176</xdr:row>
      <xdr:rowOff>25400</xdr:rowOff>
    </xdr:from>
    <xdr:to>
      <xdr:col>5</xdr:col>
      <xdr:colOff>2536825</xdr:colOff>
      <xdr:row>176</xdr:row>
      <xdr:rowOff>336550</xdr:rowOff>
    </xdr:to>
    <xdr:pic>
      <xdr:nvPicPr>
        <xdr:cNvPr id="176" name="$F$177" descr="=JCSYSStructure(&quot;8DDEB050DEE822E592330E4A8C13CCE2&quot;)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3871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177</xdr:row>
      <xdr:rowOff>25400</xdr:rowOff>
    </xdr:from>
    <xdr:to>
      <xdr:col>5</xdr:col>
      <xdr:colOff>2536825</xdr:colOff>
      <xdr:row>177</xdr:row>
      <xdr:rowOff>336550</xdr:rowOff>
    </xdr:to>
    <xdr:pic>
      <xdr:nvPicPr>
        <xdr:cNvPr id="177" name="$F$178" descr="=JCSYSStructure(&quot;701A2642D4E7AFADEFF237AA983787AB&quot;)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4233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178</xdr:row>
      <xdr:rowOff>25400</xdr:rowOff>
    </xdr:from>
    <xdr:to>
      <xdr:col>5</xdr:col>
      <xdr:colOff>2536825</xdr:colOff>
      <xdr:row>178</xdr:row>
      <xdr:rowOff>336550</xdr:rowOff>
    </xdr:to>
    <xdr:pic>
      <xdr:nvPicPr>
        <xdr:cNvPr id="178" name="$F$179" descr="=JCSYSStructure(&quot;B60D75B07530B2B8B98ABA074A40E67D&quot;)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4595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179</xdr:row>
      <xdr:rowOff>25400</xdr:rowOff>
    </xdr:from>
    <xdr:to>
      <xdr:col>5</xdr:col>
      <xdr:colOff>2536825</xdr:colOff>
      <xdr:row>179</xdr:row>
      <xdr:rowOff>336550</xdr:rowOff>
    </xdr:to>
    <xdr:pic>
      <xdr:nvPicPr>
        <xdr:cNvPr id="179" name="$F$180" descr="=JCSYSStructure(&quot;B5B2503B0891FB318CC857DE642BD9C0&quot;)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4957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180</xdr:row>
      <xdr:rowOff>25400</xdr:rowOff>
    </xdr:from>
    <xdr:to>
      <xdr:col>5</xdr:col>
      <xdr:colOff>2536825</xdr:colOff>
      <xdr:row>180</xdr:row>
      <xdr:rowOff>336550</xdr:rowOff>
    </xdr:to>
    <xdr:pic>
      <xdr:nvPicPr>
        <xdr:cNvPr id="180" name="$F$181" descr="=JCSYSStructure(&quot;163EBDECF47EA4A07EAC8E62B7BDF793&quot;)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5319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181</xdr:row>
      <xdr:rowOff>25400</xdr:rowOff>
    </xdr:from>
    <xdr:to>
      <xdr:col>5</xdr:col>
      <xdr:colOff>2536825</xdr:colOff>
      <xdr:row>181</xdr:row>
      <xdr:rowOff>336550</xdr:rowOff>
    </xdr:to>
    <xdr:pic>
      <xdr:nvPicPr>
        <xdr:cNvPr id="181" name="$F$182" descr="=JCSYSStructure(&quot;B1E071F173D31C453D75AB1E1DEA099F&quot;)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5681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182</xdr:row>
      <xdr:rowOff>25400</xdr:rowOff>
    </xdr:from>
    <xdr:to>
      <xdr:col>5</xdr:col>
      <xdr:colOff>2536825</xdr:colOff>
      <xdr:row>182</xdr:row>
      <xdr:rowOff>336550</xdr:rowOff>
    </xdr:to>
    <xdr:pic>
      <xdr:nvPicPr>
        <xdr:cNvPr id="182" name="$F$183" descr="=JCSYSStructure(&quot;284BBFF02C256CE213C53FB986D635DE&quot;)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6043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183</xdr:row>
      <xdr:rowOff>25400</xdr:rowOff>
    </xdr:from>
    <xdr:to>
      <xdr:col>5</xdr:col>
      <xdr:colOff>2536825</xdr:colOff>
      <xdr:row>183</xdr:row>
      <xdr:rowOff>336550</xdr:rowOff>
    </xdr:to>
    <xdr:pic>
      <xdr:nvPicPr>
        <xdr:cNvPr id="183" name="$F$184" descr="=JCSYSStructure(&quot;B6E8A31BC51BBEBE459CFE7ECC6B6EB8&quot;)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6405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184</xdr:row>
      <xdr:rowOff>25400</xdr:rowOff>
    </xdr:from>
    <xdr:to>
      <xdr:col>5</xdr:col>
      <xdr:colOff>2536825</xdr:colOff>
      <xdr:row>184</xdr:row>
      <xdr:rowOff>336550</xdr:rowOff>
    </xdr:to>
    <xdr:pic>
      <xdr:nvPicPr>
        <xdr:cNvPr id="184" name="$F$185" descr="=JCSYSStructure(&quot;CB764B58FB38E633E6CD349F71AC0C4D&quot;)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6767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185</xdr:row>
      <xdr:rowOff>25400</xdr:rowOff>
    </xdr:from>
    <xdr:to>
      <xdr:col>5</xdr:col>
      <xdr:colOff>2536825</xdr:colOff>
      <xdr:row>185</xdr:row>
      <xdr:rowOff>336550</xdr:rowOff>
    </xdr:to>
    <xdr:pic>
      <xdr:nvPicPr>
        <xdr:cNvPr id="185" name="$F$186" descr="=JCSYSStructure(&quot;EC8E9C292480354FC346D1373D64B544&quot;)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7129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186</xdr:row>
      <xdr:rowOff>25400</xdr:rowOff>
    </xdr:from>
    <xdr:to>
      <xdr:col>5</xdr:col>
      <xdr:colOff>2536825</xdr:colOff>
      <xdr:row>186</xdr:row>
      <xdr:rowOff>336550</xdr:rowOff>
    </xdr:to>
    <xdr:pic>
      <xdr:nvPicPr>
        <xdr:cNvPr id="186" name="$F$187" descr="=JCSYSStructure(&quot;D37813404F6E21338DC7CA39314EE8AE&quot;)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7490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187</xdr:row>
      <xdr:rowOff>25400</xdr:rowOff>
    </xdr:from>
    <xdr:to>
      <xdr:col>5</xdr:col>
      <xdr:colOff>2536825</xdr:colOff>
      <xdr:row>187</xdr:row>
      <xdr:rowOff>336550</xdr:rowOff>
    </xdr:to>
    <xdr:pic>
      <xdr:nvPicPr>
        <xdr:cNvPr id="187" name="$F$188" descr="=JCSYSStructure(&quot;5E546CA8506AF5DE06483F06DF02FEE8&quot;)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7852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188</xdr:row>
      <xdr:rowOff>25400</xdr:rowOff>
    </xdr:from>
    <xdr:to>
      <xdr:col>5</xdr:col>
      <xdr:colOff>2536825</xdr:colOff>
      <xdr:row>188</xdr:row>
      <xdr:rowOff>336550</xdr:rowOff>
    </xdr:to>
    <xdr:pic>
      <xdr:nvPicPr>
        <xdr:cNvPr id="188" name="$F$189" descr="=JCSYSStructure(&quot;89EFFD2067FA6A166F173DED813E735F&quot;)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8214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189</xdr:row>
      <xdr:rowOff>25400</xdr:rowOff>
    </xdr:from>
    <xdr:to>
      <xdr:col>5</xdr:col>
      <xdr:colOff>2536825</xdr:colOff>
      <xdr:row>189</xdr:row>
      <xdr:rowOff>336550</xdr:rowOff>
    </xdr:to>
    <xdr:pic>
      <xdr:nvPicPr>
        <xdr:cNvPr id="189" name="$F$190" descr="=JCSYSStructure(&quot;1EC444F9FDF0564B3A26E441DD542EDA&quot;)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8576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190</xdr:row>
      <xdr:rowOff>25400</xdr:rowOff>
    </xdr:from>
    <xdr:to>
      <xdr:col>5</xdr:col>
      <xdr:colOff>2536825</xdr:colOff>
      <xdr:row>190</xdr:row>
      <xdr:rowOff>336550</xdr:rowOff>
    </xdr:to>
    <xdr:pic>
      <xdr:nvPicPr>
        <xdr:cNvPr id="190" name="$F$191" descr="=JCSYSStructure(&quot;298D2AF858C604334882AE4335C5850C&quot;)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8938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191</xdr:row>
      <xdr:rowOff>25400</xdr:rowOff>
    </xdr:from>
    <xdr:to>
      <xdr:col>5</xdr:col>
      <xdr:colOff>2536825</xdr:colOff>
      <xdr:row>191</xdr:row>
      <xdr:rowOff>336550</xdr:rowOff>
    </xdr:to>
    <xdr:pic>
      <xdr:nvPicPr>
        <xdr:cNvPr id="191" name="$F$192" descr="=JCSYSStructure(&quot;0A0BFAB758D541273C65E98BEF5BA689&quot;)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9300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192</xdr:row>
      <xdr:rowOff>25400</xdr:rowOff>
    </xdr:from>
    <xdr:to>
      <xdr:col>5</xdr:col>
      <xdr:colOff>2536825</xdr:colOff>
      <xdr:row>192</xdr:row>
      <xdr:rowOff>336550</xdr:rowOff>
    </xdr:to>
    <xdr:pic>
      <xdr:nvPicPr>
        <xdr:cNvPr id="192" name="$F$193" descr="=JCSYSStructure(&quot;EC86555269C592543698565FB0C0939A&quot;)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69662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193</xdr:row>
      <xdr:rowOff>25400</xdr:rowOff>
    </xdr:from>
    <xdr:to>
      <xdr:col>5</xdr:col>
      <xdr:colOff>2536825</xdr:colOff>
      <xdr:row>193</xdr:row>
      <xdr:rowOff>336550</xdr:rowOff>
    </xdr:to>
    <xdr:pic>
      <xdr:nvPicPr>
        <xdr:cNvPr id="193" name="$F$194" descr="=JCSYSStructure(&quot;FC6FC4C7C1B2097987CC021B12BEF25F&quot;)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0024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194</xdr:row>
      <xdr:rowOff>25400</xdr:rowOff>
    </xdr:from>
    <xdr:to>
      <xdr:col>5</xdr:col>
      <xdr:colOff>2536825</xdr:colOff>
      <xdr:row>194</xdr:row>
      <xdr:rowOff>336550</xdr:rowOff>
    </xdr:to>
    <xdr:pic>
      <xdr:nvPicPr>
        <xdr:cNvPr id="194" name="$F$195" descr="=JCSYSStructure(&quot;35D2F28E4C3C72CF9040C427ED97B218&quot;)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0386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195</xdr:row>
      <xdr:rowOff>25400</xdr:rowOff>
    </xdr:from>
    <xdr:to>
      <xdr:col>5</xdr:col>
      <xdr:colOff>2536825</xdr:colOff>
      <xdr:row>195</xdr:row>
      <xdr:rowOff>336550</xdr:rowOff>
    </xdr:to>
    <xdr:pic>
      <xdr:nvPicPr>
        <xdr:cNvPr id="195" name="$F$196" descr="=JCSYSStructure(&quot;F5117C23CDA81291434746BA5C2606A6&quot;)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0748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196</xdr:row>
      <xdr:rowOff>25400</xdr:rowOff>
    </xdr:from>
    <xdr:to>
      <xdr:col>5</xdr:col>
      <xdr:colOff>2536825</xdr:colOff>
      <xdr:row>196</xdr:row>
      <xdr:rowOff>336550</xdr:rowOff>
    </xdr:to>
    <xdr:pic>
      <xdr:nvPicPr>
        <xdr:cNvPr id="196" name="$F$197" descr="=JCSYSStructure(&quot;9723508BE3EA309E79F98B6F5625881D&quot;)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1110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197</xdr:row>
      <xdr:rowOff>25400</xdr:rowOff>
    </xdr:from>
    <xdr:to>
      <xdr:col>5</xdr:col>
      <xdr:colOff>2536825</xdr:colOff>
      <xdr:row>197</xdr:row>
      <xdr:rowOff>336550</xdr:rowOff>
    </xdr:to>
    <xdr:pic>
      <xdr:nvPicPr>
        <xdr:cNvPr id="197" name="$F$198" descr="=JCSYSStructure(&quot;59C5B22C31135F4349C599A7BE6CD092&quot;)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1472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198</xdr:row>
      <xdr:rowOff>25400</xdr:rowOff>
    </xdr:from>
    <xdr:to>
      <xdr:col>5</xdr:col>
      <xdr:colOff>2536825</xdr:colOff>
      <xdr:row>198</xdr:row>
      <xdr:rowOff>336550</xdr:rowOff>
    </xdr:to>
    <xdr:pic>
      <xdr:nvPicPr>
        <xdr:cNvPr id="198" name="$F$199" descr="=JCSYSStructure(&quot;AC390CE13FA932DDC6874E03542EC448&quot;)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1834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199</xdr:row>
      <xdr:rowOff>25400</xdr:rowOff>
    </xdr:from>
    <xdr:to>
      <xdr:col>5</xdr:col>
      <xdr:colOff>2536825</xdr:colOff>
      <xdr:row>199</xdr:row>
      <xdr:rowOff>336550</xdr:rowOff>
    </xdr:to>
    <xdr:pic>
      <xdr:nvPicPr>
        <xdr:cNvPr id="199" name="$F$200" descr="=JCSYSStructure(&quot;A95AF50AB245B59FD0B6AE8443E2D861&quot;)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2196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200</xdr:row>
      <xdr:rowOff>25400</xdr:rowOff>
    </xdr:from>
    <xdr:to>
      <xdr:col>5</xdr:col>
      <xdr:colOff>2536825</xdr:colOff>
      <xdr:row>200</xdr:row>
      <xdr:rowOff>336550</xdr:rowOff>
    </xdr:to>
    <xdr:pic>
      <xdr:nvPicPr>
        <xdr:cNvPr id="200" name="$F$201" descr="=JCSYSStructure(&quot;107420BE223F9EBB3AFC9F6C31E49023&quot;)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2558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201</xdr:row>
      <xdr:rowOff>25400</xdr:rowOff>
    </xdr:from>
    <xdr:to>
      <xdr:col>5</xdr:col>
      <xdr:colOff>2536825</xdr:colOff>
      <xdr:row>201</xdr:row>
      <xdr:rowOff>336550</xdr:rowOff>
    </xdr:to>
    <xdr:pic>
      <xdr:nvPicPr>
        <xdr:cNvPr id="201" name="$F$202" descr="=JCSYSStructure(&quot;CFFF6BD32270D05A6B410AA3A7C4B4B2&quot;)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2920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202</xdr:row>
      <xdr:rowOff>25400</xdr:rowOff>
    </xdr:from>
    <xdr:to>
      <xdr:col>5</xdr:col>
      <xdr:colOff>2536825</xdr:colOff>
      <xdr:row>202</xdr:row>
      <xdr:rowOff>336550</xdr:rowOff>
    </xdr:to>
    <xdr:pic>
      <xdr:nvPicPr>
        <xdr:cNvPr id="202" name="$F$203" descr="=JCSYSStructure(&quot;124B67DDD2D10F44376018C5FB69707B&quot;)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3282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203</xdr:row>
      <xdr:rowOff>25400</xdr:rowOff>
    </xdr:from>
    <xdr:to>
      <xdr:col>5</xdr:col>
      <xdr:colOff>2536825</xdr:colOff>
      <xdr:row>203</xdr:row>
      <xdr:rowOff>336550</xdr:rowOff>
    </xdr:to>
    <xdr:pic>
      <xdr:nvPicPr>
        <xdr:cNvPr id="203" name="$F$204" descr="=JCSYSStructure(&quot;F4F5765485167A2E62A4A081C2F2ABD5&quot;)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3644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204</xdr:row>
      <xdr:rowOff>25400</xdr:rowOff>
    </xdr:from>
    <xdr:to>
      <xdr:col>5</xdr:col>
      <xdr:colOff>2536825</xdr:colOff>
      <xdr:row>204</xdr:row>
      <xdr:rowOff>336550</xdr:rowOff>
    </xdr:to>
    <xdr:pic>
      <xdr:nvPicPr>
        <xdr:cNvPr id="204" name="$F$205" descr="=JCSYSStructure(&quot;40E1C0B616B2B94A3C74DD86AB7EB42D&quot;)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4006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205</xdr:row>
      <xdr:rowOff>25400</xdr:rowOff>
    </xdr:from>
    <xdr:to>
      <xdr:col>5</xdr:col>
      <xdr:colOff>2536825</xdr:colOff>
      <xdr:row>205</xdr:row>
      <xdr:rowOff>336550</xdr:rowOff>
    </xdr:to>
    <xdr:pic>
      <xdr:nvPicPr>
        <xdr:cNvPr id="205" name="$F$206" descr="=JCSYSStructure(&quot;FB46A91FE6533452AE6AA8F54EF4A101&quot;)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4368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206</xdr:row>
      <xdr:rowOff>25400</xdr:rowOff>
    </xdr:from>
    <xdr:to>
      <xdr:col>5</xdr:col>
      <xdr:colOff>2536825</xdr:colOff>
      <xdr:row>206</xdr:row>
      <xdr:rowOff>336550</xdr:rowOff>
    </xdr:to>
    <xdr:pic>
      <xdr:nvPicPr>
        <xdr:cNvPr id="206" name="$F$207" descr="=JCSYSStructure(&quot;C9A36A2643B75885E6047B118F417E0B&quot;)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4729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207</xdr:row>
      <xdr:rowOff>25400</xdr:rowOff>
    </xdr:from>
    <xdr:to>
      <xdr:col>5</xdr:col>
      <xdr:colOff>2536825</xdr:colOff>
      <xdr:row>207</xdr:row>
      <xdr:rowOff>336550</xdr:rowOff>
    </xdr:to>
    <xdr:pic>
      <xdr:nvPicPr>
        <xdr:cNvPr id="207" name="$F$208" descr="=JCSYSStructure(&quot;29C1C31A85FC5CC7ECFEFA600F861573&quot;)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5091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208</xdr:row>
      <xdr:rowOff>25400</xdr:rowOff>
    </xdr:from>
    <xdr:to>
      <xdr:col>5</xdr:col>
      <xdr:colOff>2536825</xdr:colOff>
      <xdr:row>208</xdr:row>
      <xdr:rowOff>336550</xdr:rowOff>
    </xdr:to>
    <xdr:pic>
      <xdr:nvPicPr>
        <xdr:cNvPr id="208" name="$F$209" descr="=JCSYSStructure(&quot;726E79442ACA2BD058657DBCE9A2C7D3&quot;)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5453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209</xdr:row>
      <xdr:rowOff>25400</xdr:rowOff>
    </xdr:from>
    <xdr:to>
      <xdr:col>5</xdr:col>
      <xdr:colOff>2536825</xdr:colOff>
      <xdr:row>209</xdr:row>
      <xdr:rowOff>336550</xdr:rowOff>
    </xdr:to>
    <xdr:pic>
      <xdr:nvPicPr>
        <xdr:cNvPr id="209" name="$F$210" descr="=JCSYSStructure(&quot;3F7802096722DA941DAFC857A7FF2E65&quot;)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5815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210</xdr:row>
      <xdr:rowOff>25400</xdr:rowOff>
    </xdr:from>
    <xdr:to>
      <xdr:col>5</xdr:col>
      <xdr:colOff>2536825</xdr:colOff>
      <xdr:row>210</xdr:row>
      <xdr:rowOff>336550</xdr:rowOff>
    </xdr:to>
    <xdr:pic>
      <xdr:nvPicPr>
        <xdr:cNvPr id="210" name="$F$211" descr="=JCSYSStructure(&quot;CAEBC9B46B626F17CB2666324DD5D608&quot;)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6177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211</xdr:row>
      <xdr:rowOff>25400</xdr:rowOff>
    </xdr:from>
    <xdr:to>
      <xdr:col>5</xdr:col>
      <xdr:colOff>2536825</xdr:colOff>
      <xdr:row>211</xdr:row>
      <xdr:rowOff>336550</xdr:rowOff>
    </xdr:to>
    <xdr:pic>
      <xdr:nvPicPr>
        <xdr:cNvPr id="211" name="$F$212" descr="=JCSYSStructure(&quot;766A3E4AD788B0830C87EEDB47F95F15&quot;)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6539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212</xdr:row>
      <xdr:rowOff>25400</xdr:rowOff>
    </xdr:from>
    <xdr:to>
      <xdr:col>5</xdr:col>
      <xdr:colOff>2536825</xdr:colOff>
      <xdr:row>212</xdr:row>
      <xdr:rowOff>336550</xdr:rowOff>
    </xdr:to>
    <xdr:pic>
      <xdr:nvPicPr>
        <xdr:cNvPr id="212" name="$F$213" descr="=JCSYSStructure(&quot;B2183238C29F18E42B870FCFD3A138B8&quot;)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6901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213</xdr:row>
      <xdr:rowOff>25400</xdr:rowOff>
    </xdr:from>
    <xdr:to>
      <xdr:col>5</xdr:col>
      <xdr:colOff>2536825</xdr:colOff>
      <xdr:row>213</xdr:row>
      <xdr:rowOff>336550</xdr:rowOff>
    </xdr:to>
    <xdr:pic>
      <xdr:nvPicPr>
        <xdr:cNvPr id="213" name="$F$214" descr="=JCSYSStructure(&quot;958F1AF98B83F351768C5C2CABA6EBFA&quot;)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7263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214</xdr:row>
      <xdr:rowOff>25400</xdr:rowOff>
    </xdr:from>
    <xdr:to>
      <xdr:col>5</xdr:col>
      <xdr:colOff>2536825</xdr:colOff>
      <xdr:row>214</xdr:row>
      <xdr:rowOff>336550</xdr:rowOff>
    </xdr:to>
    <xdr:pic>
      <xdr:nvPicPr>
        <xdr:cNvPr id="214" name="$F$215" descr="=JCSYSStructure(&quot;0A9D6800D962BE4BDEA2E152BAE70CBC&quot;)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7625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215</xdr:row>
      <xdr:rowOff>25400</xdr:rowOff>
    </xdr:from>
    <xdr:to>
      <xdr:col>5</xdr:col>
      <xdr:colOff>2536825</xdr:colOff>
      <xdr:row>215</xdr:row>
      <xdr:rowOff>336550</xdr:rowOff>
    </xdr:to>
    <xdr:pic>
      <xdr:nvPicPr>
        <xdr:cNvPr id="215" name="$F$216" descr="=JCSYSStructure(&quot;2EFF199E5FBAD18E595791239C6107EC&quot;)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7987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216</xdr:row>
      <xdr:rowOff>25400</xdr:rowOff>
    </xdr:from>
    <xdr:to>
      <xdr:col>5</xdr:col>
      <xdr:colOff>2536825</xdr:colOff>
      <xdr:row>216</xdr:row>
      <xdr:rowOff>336550</xdr:rowOff>
    </xdr:to>
    <xdr:pic>
      <xdr:nvPicPr>
        <xdr:cNvPr id="216" name="$F$217" descr="=JCSYSStructure(&quot;6BDA424777221D85B69DAADEB374B92A&quot;)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8349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217</xdr:row>
      <xdr:rowOff>25400</xdr:rowOff>
    </xdr:from>
    <xdr:to>
      <xdr:col>5</xdr:col>
      <xdr:colOff>2536825</xdr:colOff>
      <xdr:row>217</xdr:row>
      <xdr:rowOff>336550</xdr:rowOff>
    </xdr:to>
    <xdr:pic>
      <xdr:nvPicPr>
        <xdr:cNvPr id="217" name="$F$218" descr="=JCSYSStructure(&quot;6288F7D0913D8E183C0386E259536B1D&quot;)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8711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218</xdr:row>
      <xdr:rowOff>25400</xdr:rowOff>
    </xdr:from>
    <xdr:to>
      <xdr:col>5</xdr:col>
      <xdr:colOff>2536825</xdr:colOff>
      <xdr:row>218</xdr:row>
      <xdr:rowOff>336550</xdr:rowOff>
    </xdr:to>
    <xdr:pic>
      <xdr:nvPicPr>
        <xdr:cNvPr id="218" name="$F$219" descr="=JCSYSStructure(&quot;29B017F4AA0172EEB7394BB6B718EC37&quot;)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9073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219</xdr:row>
      <xdr:rowOff>25400</xdr:rowOff>
    </xdr:from>
    <xdr:to>
      <xdr:col>5</xdr:col>
      <xdr:colOff>2536825</xdr:colOff>
      <xdr:row>219</xdr:row>
      <xdr:rowOff>336550</xdr:rowOff>
    </xdr:to>
    <xdr:pic>
      <xdr:nvPicPr>
        <xdr:cNvPr id="219" name="$F$220" descr="=JCSYSStructure(&quot;3CE3CE06A08123C7A0FEAA1D79F9417F&quot;)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9435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220</xdr:row>
      <xdr:rowOff>25400</xdr:rowOff>
    </xdr:from>
    <xdr:to>
      <xdr:col>5</xdr:col>
      <xdr:colOff>2536825</xdr:colOff>
      <xdr:row>220</xdr:row>
      <xdr:rowOff>336550</xdr:rowOff>
    </xdr:to>
    <xdr:pic>
      <xdr:nvPicPr>
        <xdr:cNvPr id="220" name="$F$221" descr="=JCSYSStructure(&quot;73864E92901126CDF6EAFE77EA264576&quot;)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79797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221</xdr:row>
      <xdr:rowOff>25400</xdr:rowOff>
    </xdr:from>
    <xdr:to>
      <xdr:col>5</xdr:col>
      <xdr:colOff>2536825</xdr:colOff>
      <xdr:row>221</xdr:row>
      <xdr:rowOff>336550</xdr:rowOff>
    </xdr:to>
    <xdr:pic>
      <xdr:nvPicPr>
        <xdr:cNvPr id="221" name="$F$222" descr="=JCSYSStructure(&quot;8538C7B0633AFCFFB10B5D911153A8F6&quot;)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0159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222</xdr:row>
      <xdr:rowOff>25400</xdr:rowOff>
    </xdr:from>
    <xdr:to>
      <xdr:col>5</xdr:col>
      <xdr:colOff>2536825</xdr:colOff>
      <xdr:row>222</xdr:row>
      <xdr:rowOff>336550</xdr:rowOff>
    </xdr:to>
    <xdr:pic>
      <xdr:nvPicPr>
        <xdr:cNvPr id="222" name="$F$223" descr="=JCSYSStructure(&quot;2A22C48AC3DB9C807354BACD0B0BD5E6&quot;)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0521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223</xdr:row>
      <xdr:rowOff>25400</xdr:rowOff>
    </xdr:from>
    <xdr:to>
      <xdr:col>5</xdr:col>
      <xdr:colOff>2536825</xdr:colOff>
      <xdr:row>223</xdr:row>
      <xdr:rowOff>336550</xdr:rowOff>
    </xdr:to>
    <xdr:pic>
      <xdr:nvPicPr>
        <xdr:cNvPr id="223" name="$F$224" descr="=JCSYSStructure(&quot;F6BE6B6A3908AAE1A52BC01E439C185B&quot;)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0883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224</xdr:row>
      <xdr:rowOff>25400</xdr:rowOff>
    </xdr:from>
    <xdr:to>
      <xdr:col>5</xdr:col>
      <xdr:colOff>2536825</xdr:colOff>
      <xdr:row>224</xdr:row>
      <xdr:rowOff>336550</xdr:rowOff>
    </xdr:to>
    <xdr:pic>
      <xdr:nvPicPr>
        <xdr:cNvPr id="224" name="$F$225" descr="=JCSYSStructure(&quot;367654BEFB2805969FB5711C9DC9861A&quot;)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1245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225</xdr:row>
      <xdr:rowOff>25400</xdr:rowOff>
    </xdr:from>
    <xdr:to>
      <xdr:col>5</xdr:col>
      <xdr:colOff>2536825</xdr:colOff>
      <xdr:row>225</xdr:row>
      <xdr:rowOff>336550</xdr:rowOff>
    </xdr:to>
    <xdr:pic>
      <xdr:nvPicPr>
        <xdr:cNvPr id="225" name="$F$226" descr="=JCSYSStructure(&quot;A89733268445CD464F8522CD0C26873E&quot;)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1607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226</xdr:row>
      <xdr:rowOff>25400</xdr:rowOff>
    </xdr:from>
    <xdr:to>
      <xdr:col>5</xdr:col>
      <xdr:colOff>2536825</xdr:colOff>
      <xdr:row>226</xdr:row>
      <xdr:rowOff>336550</xdr:rowOff>
    </xdr:to>
    <xdr:pic>
      <xdr:nvPicPr>
        <xdr:cNvPr id="226" name="$F$227" descr="=JCSYSStructure(&quot;65F4B3CCA9027A747D0B37EC57E5DD29&quot;)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1968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227</xdr:row>
      <xdr:rowOff>25400</xdr:rowOff>
    </xdr:from>
    <xdr:to>
      <xdr:col>5</xdr:col>
      <xdr:colOff>2536825</xdr:colOff>
      <xdr:row>227</xdr:row>
      <xdr:rowOff>336550</xdr:rowOff>
    </xdr:to>
    <xdr:pic>
      <xdr:nvPicPr>
        <xdr:cNvPr id="227" name="$F$228" descr="=JCSYSStructure(&quot;2EF5FEDCAA1001EB5AB2451229A83748&quot;)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2330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228</xdr:row>
      <xdr:rowOff>25400</xdr:rowOff>
    </xdr:from>
    <xdr:to>
      <xdr:col>5</xdr:col>
      <xdr:colOff>2536825</xdr:colOff>
      <xdr:row>228</xdr:row>
      <xdr:rowOff>336550</xdr:rowOff>
    </xdr:to>
    <xdr:pic>
      <xdr:nvPicPr>
        <xdr:cNvPr id="228" name="$F$229" descr="=JCSYSStructure(&quot;2E77CE176D6D2F7F373D1D5E2E6D712C&quot;)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2692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229</xdr:row>
      <xdr:rowOff>25400</xdr:rowOff>
    </xdr:from>
    <xdr:to>
      <xdr:col>5</xdr:col>
      <xdr:colOff>2536825</xdr:colOff>
      <xdr:row>229</xdr:row>
      <xdr:rowOff>336550</xdr:rowOff>
    </xdr:to>
    <xdr:pic>
      <xdr:nvPicPr>
        <xdr:cNvPr id="229" name="$F$230" descr="=JCSYSStructure(&quot;BE73317C31EECC73546F817618CA70E4&quot;)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3054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230</xdr:row>
      <xdr:rowOff>25400</xdr:rowOff>
    </xdr:from>
    <xdr:to>
      <xdr:col>5</xdr:col>
      <xdr:colOff>2536825</xdr:colOff>
      <xdr:row>230</xdr:row>
      <xdr:rowOff>336550</xdr:rowOff>
    </xdr:to>
    <xdr:pic>
      <xdr:nvPicPr>
        <xdr:cNvPr id="230" name="$F$231" descr="=JCSYSStructure(&quot;4C7A0E5960135E513B13DA1BA4EA580B&quot;)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3416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231</xdr:row>
      <xdr:rowOff>25400</xdr:rowOff>
    </xdr:from>
    <xdr:to>
      <xdr:col>5</xdr:col>
      <xdr:colOff>2536825</xdr:colOff>
      <xdr:row>231</xdr:row>
      <xdr:rowOff>336550</xdr:rowOff>
    </xdr:to>
    <xdr:pic>
      <xdr:nvPicPr>
        <xdr:cNvPr id="231" name="$F$232" descr="=JCSYSStructure(&quot;C5FC8E4725BACCE10409225F0BEEED18&quot;)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3778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232</xdr:row>
      <xdr:rowOff>25400</xdr:rowOff>
    </xdr:from>
    <xdr:to>
      <xdr:col>5</xdr:col>
      <xdr:colOff>2536825</xdr:colOff>
      <xdr:row>232</xdr:row>
      <xdr:rowOff>336550</xdr:rowOff>
    </xdr:to>
    <xdr:pic>
      <xdr:nvPicPr>
        <xdr:cNvPr id="232" name="$F$233" descr="=JCSYSStructure(&quot;D902CDFEAE70BDE4D97FFF7C2125FC8D&quot;)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4140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233</xdr:row>
      <xdr:rowOff>25400</xdr:rowOff>
    </xdr:from>
    <xdr:to>
      <xdr:col>5</xdr:col>
      <xdr:colOff>2536825</xdr:colOff>
      <xdr:row>233</xdr:row>
      <xdr:rowOff>336550</xdr:rowOff>
    </xdr:to>
    <xdr:pic>
      <xdr:nvPicPr>
        <xdr:cNvPr id="233" name="$F$234" descr="=JCSYSStructure(&quot;B11FEA0194EC28E1DDAAA312C83559FD&quot;)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4502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234</xdr:row>
      <xdr:rowOff>25400</xdr:rowOff>
    </xdr:from>
    <xdr:to>
      <xdr:col>5</xdr:col>
      <xdr:colOff>2536825</xdr:colOff>
      <xdr:row>234</xdr:row>
      <xdr:rowOff>336550</xdr:rowOff>
    </xdr:to>
    <xdr:pic>
      <xdr:nvPicPr>
        <xdr:cNvPr id="234" name="$F$235" descr="=JCSYSStructure(&quot;FB96EFBE21EC53CEA38F523AA8FAA5BD&quot;)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4864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235</xdr:row>
      <xdr:rowOff>25400</xdr:rowOff>
    </xdr:from>
    <xdr:to>
      <xdr:col>5</xdr:col>
      <xdr:colOff>2536825</xdr:colOff>
      <xdr:row>235</xdr:row>
      <xdr:rowOff>336550</xdr:rowOff>
    </xdr:to>
    <xdr:pic>
      <xdr:nvPicPr>
        <xdr:cNvPr id="235" name="$F$236" descr="=JCSYSStructure(&quot;208CD7BC0A8B558BBE0793C3EE25A80D&quot;)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5226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236</xdr:row>
      <xdr:rowOff>25400</xdr:rowOff>
    </xdr:from>
    <xdr:to>
      <xdr:col>5</xdr:col>
      <xdr:colOff>2536825</xdr:colOff>
      <xdr:row>236</xdr:row>
      <xdr:rowOff>336550</xdr:rowOff>
    </xdr:to>
    <xdr:pic>
      <xdr:nvPicPr>
        <xdr:cNvPr id="236" name="$F$237" descr="=JCSYSStructure(&quot;976EA69C3BA5C781E921AB729E4A08A3&quot;)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5588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237</xdr:row>
      <xdr:rowOff>25400</xdr:rowOff>
    </xdr:from>
    <xdr:to>
      <xdr:col>5</xdr:col>
      <xdr:colOff>2536825</xdr:colOff>
      <xdr:row>237</xdr:row>
      <xdr:rowOff>336550</xdr:rowOff>
    </xdr:to>
    <xdr:pic>
      <xdr:nvPicPr>
        <xdr:cNvPr id="237" name="$F$238" descr="=JCSYSStructure(&quot;C4E56B7BB94363E0E777C363324B98BE&quot;)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5950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238</xdr:row>
      <xdr:rowOff>25400</xdr:rowOff>
    </xdr:from>
    <xdr:to>
      <xdr:col>5</xdr:col>
      <xdr:colOff>2536825</xdr:colOff>
      <xdr:row>238</xdr:row>
      <xdr:rowOff>336550</xdr:rowOff>
    </xdr:to>
    <xdr:pic>
      <xdr:nvPicPr>
        <xdr:cNvPr id="238" name="$F$239" descr="=JCSYSStructure(&quot;F08A675678EDDFAB262F34C9F5D047AF&quot;)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6312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239</xdr:row>
      <xdr:rowOff>25400</xdr:rowOff>
    </xdr:from>
    <xdr:to>
      <xdr:col>5</xdr:col>
      <xdr:colOff>2536825</xdr:colOff>
      <xdr:row>239</xdr:row>
      <xdr:rowOff>336550</xdr:rowOff>
    </xdr:to>
    <xdr:pic>
      <xdr:nvPicPr>
        <xdr:cNvPr id="239" name="$F$240" descr="=JCSYSStructure(&quot;485C781E2D5D29096FCFC95266D0FEFC&quot;)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6674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240</xdr:row>
      <xdr:rowOff>25400</xdr:rowOff>
    </xdr:from>
    <xdr:to>
      <xdr:col>5</xdr:col>
      <xdr:colOff>2536825</xdr:colOff>
      <xdr:row>240</xdr:row>
      <xdr:rowOff>336550</xdr:rowOff>
    </xdr:to>
    <xdr:pic>
      <xdr:nvPicPr>
        <xdr:cNvPr id="240" name="$F$241" descr="=JCSYSStructure(&quot;235F5E3B82173E26105821445D89AAAE&quot;)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7036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241</xdr:row>
      <xdr:rowOff>25400</xdr:rowOff>
    </xdr:from>
    <xdr:to>
      <xdr:col>5</xdr:col>
      <xdr:colOff>2536825</xdr:colOff>
      <xdr:row>241</xdr:row>
      <xdr:rowOff>336550</xdr:rowOff>
    </xdr:to>
    <xdr:pic>
      <xdr:nvPicPr>
        <xdr:cNvPr id="241" name="$F$242" descr="=JCSYSStructure(&quot;A9C2D605D874EB477905C1421AF2E8C3&quot;)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7398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242</xdr:row>
      <xdr:rowOff>25400</xdr:rowOff>
    </xdr:from>
    <xdr:to>
      <xdr:col>5</xdr:col>
      <xdr:colOff>2536825</xdr:colOff>
      <xdr:row>242</xdr:row>
      <xdr:rowOff>336550</xdr:rowOff>
    </xdr:to>
    <xdr:pic>
      <xdr:nvPicPr>
        <xdr:cNvPr id="242" name="$F$243" descr="=JCSYSStructure(&quot;7A770B520D05E32DDD506F8456A3CCB2&quot;)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7760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243</xdr:row>
      <xdr:rowOff>25400</xdr:rowOff>
    </xdr:from>
    <xdr:to>
      <xdr:col>5</xdr:col>
      <xdr:colOff>2536825</xdr:colOff>
      <xdr:row>243</xdr:row>
      <xdr:rowOff>336550</xdr:rowOff>
    </xdr:to>
    <xdr:pic>
      <xdr:nvPicPr>
        <xdr:cNvPr id="243" name="$F$244" descr="=JCSYSStructure(&quot;B147BB125974EFF92AAEDD65488E0011&quot;)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8122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244</xdr:row>
      <xdr:rowOff>25400</xdr:rowOff>
    </xdr:from>
    <xdr:to>
      <xdr:col>5</xdr:col>
      <xdr:colOff>2536825</xdr:colOff>
      <xdr:row>244</xdr:row>
      <xdr:rowOff>336550</xdr:rowOff>
    </xdr:to>
    <xdr:pic>
      <xdr:nvPicPr>
        <xdr:cNvPr id="244" name="$F$245" descr="=JCSYSStructure(&quot;835EA52B76ABD83E01D0ADA8C58920A0&quot;)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8484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245</xdr:row>
      <xdr:rowOff>25400</xdr:rowOff>
    </xdr:from>
    <xdr:to>
      <xdr:col>5</xdr:col>
      <xdr:colOff>2536825</xdr:colOff>
      <xdr:row>245</xdr:row>
      <xdr:rowOff>336550</xdr:rowOff>
    </xdr:to>
    <xdr:pic>
      <xdr:nvPicPr>
        <xdr:cNvPr id="245" name="$F$246" descr="=JCSYSStructure(&quot;DB4F4169C646E038B481D97AFD4D91A6&quot;)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8846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246</xdr:row>
      <xdr:rowOff>25400</xdr:rowOff>
    </xdr:from>
    <xdr:to>
      <xdr:col>5</xdr:col>
      <xdr:colOff>2536825</xdr:colOff>
      <xdr:row>246</xdr:row>
      <xdr:rowOff>336550</xdr:rowOff>
    </xdr:to>
    <xdr:pic>
      <xdr:nvPicPr>
        <xdr:cNvPr id="246" name="$F$247" descr="=JCSYSStructure(&quot;6F8C09B69F25D24DD50E5BF2E8F3FFB6&quot;)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9207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247</xdr:row>
      <xdr:rowOff>25400</xdr:rowOff>
    </xdr:from>
    <xdr:to>
      <xdr:col>5</xdr:col>
      <xdr:colOff>2536825</xdr:colOff>
      <xdr:row>247</xdr:row>
      <xdr:rowOff>336550</xdr:rowOff>
    </xdr:to>
    <xdr:pic>
      <xdr:nvPicPr>
        <xdr:cNvPr id="247" name="$F$248" descr="=JCSYSStructure(&quot;E645C8713666428F49E5FE9508200CB0&quot;)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9569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248</xdr:row>
      <xdr:rowOff>25400</xdr:rowOff>
    </xdr:from>
    <xdr:to>
      <xdr:col>5</xdr:col>
      <xdr:colOff>2536825</xdr:colOff>
      <xdr:row>248</xdr:row>
      <xdr:rowOff>336550</xdr:rowOff>
    </xdr:to>
    <xdr:pic>
      <xdr:nvPicPr>
        <xdr:cNvPr id="248" name="$F$249" descr="=JCSYSStructure(&quot;B9AA83F38D768107A3D5533DD194FDAE&quot;)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9931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249</xdr:row>
      <xdr:rowOff>25400</xdr:rowOff>
    </xdr:from>
    <xdr:to>
      <xdr:col>5</xdr:col>
      <xdr:colOff>2536825</xdr:colOff>
      <xdr:row>249</xdr:row>
      <xdr:rowOff>336550</xdr:rowOff>
    </xdr:to>
    <xdr:pic>
      <xdr:nvPicPr>
        <xdr:cNvPr id="249" name="$F$250" descr="=JCSYSStructure(&quot;C4F0529DFEDC7BB3AF958375E18E5EDB&quot;)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0293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250</xdr:row>
      <xdr:rowOff>25400</xdr:rowOff>
    </xdr:from>
    <xdr:to>
      <xdr:col>5</xdr:col>
      <xdr:colOff>2536825</xdr:colOff>
      <xdr:row>250</xdr:row>
      <xdr:rowOff>336550</xdr:rowOff>
    </xdr:to>
    <xdr:pic>
      <xdr:nvPicPr>
        <xdr:cNvPr id="250" name="$F$251" descr="=JCSYSStructure(&quot;40A430A0026E1AB6CDB6A8E12D9F87D4&quot;)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0655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251</xdr:row>
      <xdr:rowOff>25400</xdr:rowOff>
    </xdr:from>
    <xdr:to>
      <xdr:col>5</xdr:col>
      <xdr:colOff>2536825</xdr:colOff>
      <xdr:row>251</xdr:row>
      <xdr:rowOff>336550</xdr:rowOff>
    </xdr:to>
    <xdr:pic>
      <xdr:nvPicPr>
        <xdr:cNvPr id="251" name="$F$252" descr="=JCSYSStructure(&quot;8981563AF21E40F59476E42E3020FBEB&quot;)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1017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252</xdr:row>
      <xdr:rowOff>25400</xdr:rowOff>
    </xdr:from>
    <xdr:to>
      <xdr:col>5</xdr:col>
      <xdr:colOff>2536825</xdr:colOff>
      <xdr:row>252</xdr:row>
      <xdr:rowOff>336550</xdr:rowOff>
    </xdr:to>
    <xdr:pic>
      <xdr:nvPicPr>
        <xdr:cNvPr id="252" name="$F$253" descr="=JCSYSStructure(&quot;52A4E186AF7AA4896B8E2E003AC8A614&quot;)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1379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253</xdr:row>
      <xdr:rowOff>25400</xdr:rowOff>
    </xdr:from>
    <xdr:to>
      <xdr:col>5</xdr:col>
      <xdr:colOff>2536825</xdr:colOff>
      <xdr:row>253</xdr:row>
      <xdr:rowOff>336550</xdr:rowOff>
    </xdr:to>
    <xdr:pic>
      <xdr:nvPicPr>
        <xdr:cNvPr id="253" name="$F$254" descr="=JCSYSStructure(&quot;0B583611FE735137197093D82E152DAC&quot;)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1741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254</xdr:row>
      <xdr:rowOff>25400</xdr:rowOff>
    </xdr:from>
    <xdr:to>
      <xdr:col>5</xdr:col>
      <xdr:colOff>2536825</xdr:colOff>
      <xdr:row>254</xdr:row>
      <xdr:rowOff>336550</xdr:rowOff>
    </xdr:to>
    <xdr:pic>
      <xdr:nvPicPr>
        <xdr:cNvPr id="254" name="$F$255" descr="=JCSYSStructure(&quot;8522E176C282B7121FD0EA86699742A1&quot;)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2103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255</xdr:row>
      <xdr:rowOff>25400</xdr:rowOff>
    </xdr:from>
    <xdr:to>
      <xdr:col>5</xdr:col>
      <xdr:colOff>2536825</xdr:colOff>
      <xdr:row>255</xdr:row>
      <xdr:rowOff>336550</xdr:rowOff>
    </xdr:to>
    <xdr:pic>
      <xdr:nvPicPr>
        <xdr:cNvPr id="255" name="$F$256" descr="=JCSYSStructure(&quot;5063EABDEF8DBC37AF10FCAA490E5919&quot;)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2465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256</xdr:row>
      <xdr:rowOff>25400</xdr:rowOff>
    </xdr:from>
    <xdr:to>
      <xdr:col>5</xdr:col>
      <xdr:colOff>2536825</xdr:colOff>
      <xdr:row>256</xdr:row>
      <xdr:rowOff>336550</xdr:rowOff>
    </xdr:to>
    <xdr:pic>
      <xdr:nvPicPr>
        <xdr:cNvPr id="256" name="$F$257" descr="=JCSYSStructure(&quot;AC16ADF86A062B2DDA79A8BE3AEE2A1A&quot;)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2827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257</xdr:row>
      <xdr:rowOff>25400</xdr:rowOff>
    </xdr:from>
    <xdr:to>
      <xdr:col>5</xdr:col>
      <xdr:colOff>2536825</xdr:colOff>
      <xdr:row>257</xdr:row>
      <xdr:rowOff>336550</xdr:rowOff>
    </xdr:to>
    <xdr:pic>
      <xdr:nvPicPr>
        <xdr:cNvPr id="257" name="$F$258" descr="=JCSYSStructure(&quot;DCCBDC36297571296FCE33906E41AF21&quot;)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3189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258</xdr:row>
      <xdr:rowOff>25400</xdr:rowOff>
    </xdr:from>
    <xdr:to>
      <xdr:col>5</xdr:col>
      <xdr:colOff>2536825</xdr:colOff>
      <xdr:row>258</xdr:row>
      <xdr:rowOff>336550</xdr:rowOff>
    </xdr:to>
    <xdr:pic>
      <xdr:nvPicPr>
        <xdr:cNvPr id="258" name="$F$259" descr="=JCSYSStructure(&quot;F754BF4267D8D7CF453FB0C4DC159C46&quot;)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3551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259</xdr:row>
      <xdr:rowOff>25400</xdr:rowOff>
    </xdr:from>
    <xdr:to>
      <xdr:col>5</xdr:col>
      <xdr:colOff>2536825</xdr:colOff>
      <xdr:row>259</xdr:row>
      <xdr:rowOff>336550</xdr:rowOff>
    </xdr:to>
    <xdr:pic>
      <xdr:nvPicPr>
        <xdr:cNvPr id="259" name="$F$260" descr="=JCSYSStructure(&quot;62AB472B5F04F29BC4FC388974A3D82D&quot;)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3913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260</xdr:row>
      <xdr:rowOff>25400</xdr:rowOff>
    </xdr:from>
    <xdr:to>
      <xdr:col>5</xdr:col>
      <xdr:colOff>2536825</xdr:colOff>
      <xdr:row>260</xdr:row>
      <xdr:rowOff>336550</xdr:rowOff>
    </xdr:to>
    <xdr:pic>
      <xdr:nvPicPr>
        <xdr:cNvPr id="260" name="$F$261" descr="=JCSYSStructure(&quot;8F57F455D03574065C862C97334A2A99&quot;)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4275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261</xdr:row>
      <xdr:rowOff>25400</xdr:rowOff>
    </xdr:from>
    <xdr:to>
      <xdr:col>5</xdr:col>
      <xdr:colOff>2536825</xdr:colOff>
      <xdr:row>261</xdr:row>
      <xdr:rowOff>336550</xdr:rowOff>
    </xdr:to>
    <xdr:pic>
      <xdr:nvPicPr>
        <xdr:cNvPr id="261" name="$F$262" descr="=JCSYSStructure(&quot;A015C5BA7A842E3448F8CB152E73CC50&quot;)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4637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262</xdr:row>
      <xdr:rowOff>25400</xdr:rowOff>
    </xdr:from>
    <xdr:to>
      <xdr:col>5</xdr:col>
      <xdr:colOff>2536825</xdr:colOff>
      <xdr:row>262</xdr:row>
      <xdr:rowOff>336550</xdr:rowOff>
    </xdr:to>
    <xdr:pic>
      <xdr:nvPicPr>
        <xdr:cNvPr id="262" name="$F$263" descr="=JCSYSStructure(&quot;63491FCA04E3A4A1974ECEC6347EA0BA&quot;)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4999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263</xdr:row>
      <xdr:rowOff>25400</xdr:rowOff>
    </xdr:from>
    <xdr:to>
      <xdr:col>5</xdr:col>
      <xdr:colOff>2536825</xdr:colOff>
      <xdr:row>263</xdr:row>
      <xdr:rowOff>336550</xdr:rowOff>
    </xdr:to>
    <xdr:pic>
      <xdr:nvPicPr>
        <xdr:cNvPr id="263" name="$F$264" descr="=JCSYSStructure(&quot;10D342A56741B47608ED98FE7B3D74DE&quot;)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5361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264</xdr:row>
      <xdr:rowOff>25400</xdr:rowOff>
    </xdr:from>
    <xdr:to>
      <xdr:col>5</xdr:col>
      <xdr:colOff>2536825</xdr:colOff>
      <xdr:row>264</xdr:row>
      <xdr:rowOff>336550</xdr:rowOff>
    </xdr:to>
    <xdr:pic>
      <xdr:nvPicPr>
        <xdr:cNvPr id="264" name="$F$265" descr="=JCSYSStructure(&quot;4E6CDECDD679BDA3CCAB58422E8A2A56&quot;)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5723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265</xdr:row>
      <xdr:rowOff>25400</xdr:rowOff>
    </xdr:from>
    <xdr:to>
      <xdr:col>5</xdr:col>
      <xdr:colOff>2536825</xdr:colOff>
      <xdr:row>265</xdr:row>
      <xdr:rowOff>336550</xdr:rowOff>
    </xdr:to>
    <xdr:pic>
      <xdr:nvPicPr>
        <xdr:cNvPr id="265" name="$F$266" descr="=JCSYSStructure(&quot;0E2F056EDA479FAE8841DE5B7E2BCCCE&quot;)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6085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266</xdr:row>
      <xdr:rowOff>25400</xdr:rowOff>
    </xdr:from>
    <xdr:to>
      <xdr:col>5</xdr:col>
      <xdr:colOff>2536825</xdr:colOff>
      <xdr:row>266</xdr:row>
      <xdr:rowOff>336550</xdr:rowOff>
    </xdr:to>
    <xdr:pic>
      <xdr:nvPicPr>
        <xdr:cNvPr id="266" name="$F$267" descr="=JCSYSStructure(&quot;4679706214D21B359183386472501436&quot;)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6446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267</xdr:row>
      <xdr:rowOff>25400</xdr:rowOff>
    </xdr:from>
    <xdr:to>
      <xdr:col>5</xdr:col>
      <xdr:colOff>2536825</xdr:colOff>
      <xdr:row>267</xdr:row>
      <xdr:rowOff>336550</xdr:rowOff>
    </xdr:to>
    <xdr:pic>
      <xdr:nvPicPr>
        <xdr:cNvPr id="267" name="$F$268" descr="=JCSYSStructure(&quot;8204EE43B50DBD39D3A1744353028654&quot;)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6808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268</xdr:row>
      <xdr:rowOff>25400</xdr:rowOff>
    </xdr:from>
    <xdr:to>
      <xdr:col>5</xdr:col>
      <xdr:colOff>2536825</xdr:colOff>
      <xdr:row>268</xdr:row>
      <xdr:rowOff>336550</xdr:rowOff>
    </xdr:to>
    <xdr:pic>
      <xdr:nvPicPr>
        <xdr:cNvPr id="268" name="$F$269" descr="=JCSYSStructure(&quot;3A3487A867807EC0D7050C6D17813A72&quot;)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7170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269</xdr:row>
      <xdr:rowOff>25400</xdr:rowOff>
    </xdr:from>
    <xdr:to>
      <xdr:col>5</xdr:col>
      <xdr:colOff>2536825</xdr:colOff>
      <xdr:row>269</xdr:row>
      <xdr:rowOff>336550</xdr:rowOff>
    </xdr:to>
    <xdr:pic>
      <xdr:nvPicPr>
        <xdr:cNvPr id="269" name="$F$270" descr="=JCSYSStructure(&quot;119A472CCBAED790E4291ED7C16E6FCC&quot;)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7532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270</xdr:row>
      <xdr:rowOff>25400</xdr:rowOff>
    </xdr:from>
    <xdr:to>
      <xdr:col>5</xdr:col>
      <xdr:colOff>2536825</xdr:colOff>
      <xdr:row>270</xdr:row>
      <xdr:rowOff>336550</xdr:rowOff>
    </xdr:to>
    <xdr:pic>
      <xdr:nvPicPr>
        <xdr:cNvPr id="270" name="$F$271" descr="=JCSYSStructure(&quot;F186DDAC3CA1D749F6BD5DC4C813EB9D&quot;)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7894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271</xdr:row>
      <xdr:rowOff>25400</xdr:rowOff>
    </xdr:from>
    <xdr:to>
      <xdr:col>5</xdr:col>
      <xdr:colOff>2536825</xdr:colOff>
      <xdr:row>271</xdr:row>
      <xdr:rowOff>336550</xdr:rowOff>
    </xdr:to>
    <xdr:pic>
      <xdr:nvPicPr>
        <xdr:cNvPr id="271" name="$F$272" descr="=JCSYSStructure(&quot;CA329A2E8B14CF24BE2CA6F4B77D10D0&quot;)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8256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272</xdr:row>
      <xdr:rowOff>25400</xdr:rowOff>
    </xdr:from>
    <xdr:to>
      <xdr:col>5</xdr:col>
      <xdr:colOff>2536825</xdr:colOff>
      <xdr:row>272</xdr:row>
      <xdr:rowOff>336550</xdr:rowOff>
    </xdr:to>
    <xdr:pic>
      <xdr:nvPicPr>
        <xdr:cNvPr id="272" name="$F$273" descr="=JCSYSStructure(&quot;F1E125544CD02E6DAAED5CFEE7029FC2&quot;)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8618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273</xdr:row>
      <xdr:rowOff>25400</xdr:rowOff>
    </xdr:from>
    <xdr:to>
      <xdr:col>5</xdr:col>
      <xdr:colOff>2536825</xdr:colOff>
      <xdr:row>273</xdr:row>
      <xdr:rowOff>336550</xdr:rowOff>
    </xdr:to>
    <xdr:pic>
      <xdr:nvPicPr>
        <xdr:cNvPr id="273" name="$F$274" descr="=JCSYSStructure(&quot;B36C7D9BF8560B31EC6726C5769C7423&quot;)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8980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274</xdr:row>
      <xdr:rowOff>25400</xdr:rowOff>
    </xdr:from>
    <xdr:to>
      <xdr:col>5</xdr:col>
      <xdr:colOff>2536825</xdr:colOff>
      <xdr:row>274</xdr:row>
      <xdr:rowOff>336550</xdr:rowOff>
    </xdr:to>
    <xdr:pic>
      <xdr:nvPicPr>
        <xdr:cNvPr id="274" name="$F$275" descr="=JCSYSStructure(&quot;2F358F79497D3EF35D4AC891300046C4&quot;)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9342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275</xdr:row>
      <xdr:rowOff>25400</xdr:rowOff>
    </xdr:from>
    <xdr:to>
      <xdr:col>5</xdr:col>
      <xdr:colOff>2536825</xdr:colOff>
      <xdr:row>275</xdr:row>
      <xdr:rowOff>336550</xdr:rowOff>
    </xdr:to>
    <xdr:pic>
      <xdr:nvPicPr>
        <xdr:cNvPr id="275" name="$F$276" descr="=JCSYSStructure(&quot;210656EF77420D0AE5958C74BCFB60D9&quot;)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99704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276</xdr:row>
      <xdr:rowOff>25400</xdr:rowOff>
    </xdr:from>
    <xdr:to>
      <xdr:col>5</xdr:col>
      <xdr:colOff>2536825</xdr:colOff>
      <xdr:row>276</xdr:row>
      <xdr:rowOff>336550</xdr:rowOff>
    </xdr:to>
    <xdr:pic>
      <xdr:nvPicPr>
        <xdr:cNvPr id="276" name="$F$277" descr="=JCSYSStructure(&quot;9A5EF5896408253AD86117AAA9CA8A99&quot;)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0066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277</xdr:row>
      <xdr:rowOff>25400</xdr:rowOff>
    </xdr:from>
    <xdr:to>
      <xdr:col>5</xdr:col>
      <xdr:colOff>2536825</xdr:colOff>
      <xdr:row>277</xdr:row>
      <xdr:rowOff>336550</xdr:rowOff>
    </xdr:to>
    <xdr:pic>
      <xdr:nvPicPr>
        <xdr:cNvPr id="277" name="$F$278" descr="=JCSYSStructure(&quot;CE0A71183FB8F2D29DAD74A0D1FA1456&quot;)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0428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278</xdr:row>
      <xdr:rowOff>25400</xdr:rowOff>
    </xdr:from>
    <xdr:to>
      <xdr:col>5</xdr:col>
      <xdr:colOff>2536825</xdr:colOff>
      <xdr:row>278</xdr:row>
      <xdr:rowOff>336550</xdr:rowOff>
    </xdr:to>
    <xdr:pic>
      <xdr:nvPicPr>
        <xdr:cNvPr id="278" name="$F$279" descr="=JCSYSStructure(&quot;B4A1C69FEC1A290C320E24B5C1B2EC03&quot;)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0790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279</xdr:row>
      <xdr:rowOff>25400</xdr:rowOff>
    </xdr:from>
    <xdr:to>
      <xdr:col>5</xdr:col>
      <xdr:colOff>2536825</xdr:colOff>
      <xdr:row>279</xdr:row>
      <xdr:rowOff>336550</xdr:rowOff>
    </xdr:to>
    <xdr:pic>
      <xdr:nvPicPr>
        <xdr:cNvPr id="279" name="$F$280" descr="=JCSYSStructure(&quot;4B37F97C05238BF971E8C824C9749DB4&quot;)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1152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280</xdr:row>
      <xdr:rowOff>25400</xdr:rowOff>
    </xdr:from>
    <xdr:to>
      <xdr:col>5</xdr:col>
      <xdr:colOff>2536825</xdr:colOff>
      <xdr:row>280</xdr:row>
      <xdr:rowOff>336550</xdr:rowOff>
    </xdr:to>
    <xdr:pic>
      <xdr:nvPicPr>
        <xdr:cNvPr id="280" name="$F$281" descr="=JCSYSStructure(&quot;FB0641FEC022114D13A881BA6C068F16&quot;)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1514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281</xdr:row>
      <xdr:rowOff>25400</xdr:rowOff>
    </xdr:from>
    <xdr:to>
      <xdr:col>5</xdr:col>
      <xdr:colOff>2536825</xdr:colOff>
      <xdr:row>281</xdr:row>
      <xdr:rowOff>336550</xdr:rowOff>
    </xdr:to>
    <xdr:pic>
      <xdr:nvPicPr>
        <xdr:cNvPr id="281" name="$F$282" descr="=JCSYSStructure(&quot;767AB14C344B644080F8D645CF913839&quot;)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1876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282</xdr:row>
      <xdr:rowOff>25400</xdr:rowOff>
    </xdr:from>
    <xdr:to>
      <xdr:col>5</xdr:col>
      <xdr:colOff>2536825</xdr:colOff>
      <xdr:row>282</xdr:row>
      <xdr:rowOff>336550</xdr:rowOff>
    </xdr:to>
    <xdr:pic>
      <xdr:nvPicPr>
        <xdr:cNvPr id="282" name="$F$283" descr="=JCSYSStructure(&quot;50502D0DCA2CAD8D7B8DC079FDE7095E&quot;)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2238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283</xdr:row>
      <xdr:rowOff>25400</xdr:rowOff>
    </xdr:from>
    <xdr:to>
      <xdr:col>5</xdr:col>
      <xdr:colOff>2536825</xdr:colOff>
      <xdr:row>283</xdr:row>
      <xdr:rowOff>336550</xdr:rowOff>
    </xdr:to>
    <xdr:pic>
      <xdr:nvPicPr>
        <xdr:cNvPr id="283" name="$F$284" descr="=JCSYSStructure(&quot;F8B410487D4C9BC952A225C8D8B8E147&quot;)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2600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284</xdr:row>
      <xdr:rowOff>25400</xdr:rowOff>
    </xdr:from>
    <xdr:to>
      <xdr:col>5</xdr:col>
      <xdr:colOff>2536825</xdr:colOff>
      <xdr:row>284</xdr:row>
      <xdr:rowOff>336550</xdr:rowOff>
    </xdr:to>
    <xdr:pic>
      <xdr:nvPicPr>
        <xdr:cNvPr id="284" name="$F$285" descr="=JCSYSStructure(&quot;A1D3CE2E6B8224235AF77B0E6CFA0D99&quot;)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2962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285</xdr:row>
      <xdr:rowOff>25400</xdr:rowOff>
    </xdr:from>
    <xdr:to>
      <xdr:col>5</xdr:col>
      <xdr:colOff>2536825</xdr:colOff>
      <xdr:row>285</xdr:row>
      <xdr:rowOff>336550</xdr:rowOff>
    </xdr:to>
    <xdr:pic>
      <xdr:nvPicPr>
        <xdr:cNvPr id="285" name="$F$286" descr="=JCSYSStructure(&quot;6CA7D790EE217985C3A0211B97050C7E&quot;)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3324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286</xdr:row>
      <xdr:rowOff>25400</xdr:rowOff>
    </xdr:from>
    <xdr:to>
      <xdr:col>5</xdr:col>
      <xdr:colOff>2536825</xdr:colOff>
      <xdr:row>286</xdr:row>
      <xdr:rowOff>336550</xdr:rowOff>
    </xdr:to>
    <xdr:pic>
      <xdr:nvPicPr>
        <xdr:cNvPr id="286" name="$F$287" descr="=JCSYSStructure(&quot;836C6C9F15D5F2E6689A076D6D3C764D&quot;)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3685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287</xdr:row>
      <xdr:rowOff>25400</xdr:rowOff>
    </xdr:from>
    <xdr:to>
      <xdr:col>5</xdr:col>
      <xdr:colOff>2536825</xdr:colOff>
      <xdr:row>287</xdr:row>
      <xdr:rowOff>336550</xdr:rowOff>
    </xdr:to>
    <xdr:pic>
      <xdr:nvPicPr>
        <xdr:cNvPr id="287" name="$F$288" descr="=JCSYSStructure(&quot;1889C61068BBF5A1658071104162EAEC&quot;)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4047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288</xdr:row>
      <xdr:rowOff>25400</xdr:rowOff>
    </xdr:from>
    <xdr:to>
      <xdr:col>5</xdr:col>
      <xdr:colOff>2536825</xdr:colOff>
      <xdr:row>288</xdr:row>
      <xdr:rowOff>336550</xdr:rowOff>
    </xdr:to>
    <xdr:pic>
      <xdr:nvPicPr>
        <xdr:cNvPr id="288" name="$F$289" descr="=JCSYSStructure(&quot;E42A947A1E14F5FFBE31EC064FEA5ECF&quot;)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4409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289</xdr:row>
      <xdr:rowOff>25400</xdr:rowOff>
    </xdr:from>
    <xdr:to>
      <xdr:col>5</xdr:col>
      <xdr:colOff>2536825</xdr:colOff>
      <xdr:row>289</xdr:row>
      <xdr:rowOff>336550</xdr:rowOff>
    </xdr:to>
    <xdr:pic>
      <xdr:nvPicPr>
        <xdr:cNvPr id="289" name="$F$290" descr="=JCSYSStructure(&quot;E46E6483E9B2C3F5DD4ADCD78BFFD41F&quot;)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4771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290</xdr:row>
      <xdr:rowOff>25400</xdr:rowOff>
    </xdr:from>
    <xdr:to>
      <xdr:col>5</xdr:col>
      <xdr:colOff>2536825</xdr:colOff>
      <xdr:row>290</xdr:row>
      <xdr:rowOff>336550</xdr:rowOff>
    </xdr:to>
    <xdr:pic>
      <xdr:nvPicPr>
        <xdr:cNvPr id="290" name="$F$291" descr="=JCSYSStructure(&quot;6E8544D1FA8297C18593DD28D7067EF6&quot;)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5133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291</xdr:row>
      <xdr:rowOff>25400</xdr:rowOff>
    </xdr:from>
    <xdr:to>
      <xdr:col>5</xdr:col>
      <xdr:colOff>2536825</xdr:colOff>
      <xdr:row>291</xdr:row>
      <xdr:rowOff>336550</xdr:rowOff>
    </xdr:to>
    <xdr:pic>
      <xdr:nvPicPr>
        <xdr:cNvPr id="291" name="$F$292" descr="=JCSYSStructure(&quot;B61BB7CA999CC0C65AD950713FD03E97&quot;)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5495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292</xdr:row>
      <xdr:rowOff>25400</xdr:rowOff>
    </xdr:from>
    <xdr:to>
      <xdr:col>5</xdr:col>
      <xdr:colOff>2536825</xdr:colOff>
      <xdr:row>292</xdr:row>
      <xdr:rowOff>336550</xdr:rowOff>
    </xdr:to>
    <xdr:pic>
      <xdr:nvPicPr>
        <xdr:cNvPr id="292" name="$F$293" descr="=JCSYSStructure(&quot;90D9B350A3046E2AC71C7A54B42264AD&quot;)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5857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293</xdr:row>
      <xdr:rowOff>25400</xdr:rowOff>
    </xdr:from>
    <xdr:to>
      <xdr:col>5</xdr:col>
      <xdr:colOff>2536825</xdr:colOff>
      <xdr:row>293</xdr:row>
      <xdr:rowOff>336550</xdr:rowOff>
    </xdr:to>
    <xdr:pic>
      <xdr:nvPicPr>
        <xdr:cNvPr id="293" name="$F$294" descr="=JCSYSStructure(&quot;F15CF1B20A9840516A73271AF7568BD2&quot;)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6219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294</xdr:row>
      <xdr:rowOff>25400</xdr:rowOff>
    </xdr:from>
    <xdr:to>
      <xdr:col>5</xdr:col>
      <xdr:colOff>2536825</xdr:colOff>
      <xdr:row>294</xdr:row>
      <xdr:rowOff>336550</xdr:rowOff>
    </xdr:to>
    <xdr:pic>
      <xdr:nvPicPr>
        <xdr:cNvPr id="294" name="$F$295" descr="=JCSYSStructure(&quot;B44014B2717E6A2ABF9CD4EDD7E7480B&quot;)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6581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295</xdr:row>
      <xdr:rowOff>25400</xdr:rowOff>
    </xdr:from>
    <xdr:to>
      <xdr:col>5</xdr:col>
      <xdr:colOff>2536825</xdr:colOff>
      <xdr:row>295</xdr:row>
      <xdr:rowOff>336550</xdr:rowOff>
    </xdr:to>
    <xdr:pic>
      <xdr:nvPicPr>
        <xdr:cNvPr id="295" name="$F$296" descr="=JCSYSStructure(&quot;E8FCC75B7D33947E56475255573317EB&quot;)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6943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296</xdr:row>
      <xdr:rowOff>25400</xdr:rowOff>
    </xdr:from>
    <xdr:to>
      <xdr:col>5</xdr:col>
      <xdr:colOff>2536825</xdr:colOff>
      <xdr:row>296</xdr:row>
      <xdr:rowOff>336550</xdr:rowOff>
    </xdr:to>
    <xdr:pic>
      <xdr:nvPicPr>
        <xdr:cNvPr id="296" name="$F$297" descr="=JCSYSStructure(&quot;239250AC7C05AD0734EE9DC767053A28&quot;)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7305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297</xdr:row>
      <xdr:rowOff>25400</xdr:rowOff>
    </xdr:from>
    <xdr:to>
      <xdr:col>5</xdr:col>
      <xdr:colOff>2536825</xdr:colOff>
      <xdr:row>297</xdr:row>
      <xdr:rowOff>336550</xdr:rowOff>
    </xdr:to>
    <xdr:pic>
      <xdr:nvPicPr>
        <xdr:cNvPr id="297" name="$F$298" descr="=JCSYSStructure(&quot;F85DD4A39D17C5508BC0C5CA07739298&quot;)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7667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298</xdr:row>
      <xdr:rowOff>25400</xdr:rowOff>
    </xdr:from>
    <xdr:to>
      <xdr:col>5</xdr:col>
      <xdr:colOff>2536825</xdr:colOff>
      <xdr:row>298</xdr:row>
      <xdr:rowOff>336550</xdr:rowOff>
    </xdr:to>
    <xdr:pic>
      <xdr:nvPicPr>
        <xdr:cNvPr id="298" name="$F$299" descr="=JCSYSStructure(&quot;2E3940AEC2AA51EAA46708469C85F625&quot;)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8029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299</xdr:row>
      <xdr:rowOff>25400</xdr:rowOff>
    </xdr:from>
    <xdr:to>
      <xdr:col>5</xdr:col>
      <xdr:colOff>2536825</xdr:colOff>
      <xdr:row>299</xdr:row>
      <xdr:rowOff>336550</xdr:rowOff>
    </xdr:to>
    <xdr:pic>
      <xdr:nvPicPr>
        <xdr:cNvPr id="299" name="$F$300" descr="=JCSYSStructure(&quot;7248A7E72D7A22E3F0FF732B39417160&quot;)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8391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300</xdr:row>
      <xdr:rowOff>25400</xdr:rowOff>
    </xdr:from>
    <xdr:to>
      <xdr:col>5</xdr:col>
      <xdr:colOff>2536825</xdr:colOff>
      <xdr:row>300</xdr:row>
      <xdr:rowOff>336550</xdr:rowOff>
    </xdr:to>
    <xdr:pic>
      <xdr:nvPicPr>
        <xdr:cNvPr id="300" name="$F$301" descr="=JCSYSStructure(&quot;E434341851CB6D49098895531885FE3D&quot;)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8753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301</xdr:row>
      <xdr:rowOff>25400</xdr:rowOff>
    </xdr:from>
    <xdr:to>
      <xdr:col>5</xdr:col>
      <xdr:colOff>2536825</xdr:colOff>
      <xdr:row>301</xdr:row>
      <xdr:rowOff>336550</xdr:rowOff>
    </xdr:to>
    <xdr:pic>
      <xdr:nvPicPr>
        <xdr:cNvPr id="301" name="$F$302" descr="=JCSYSStructure(&quot;0B3309337DFA8FEA0A9C25D874FD4AC8&quot;)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9115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302</xdr:row>
      <xdr:rowOff>25400</xdr:rowOff>
    </xdr:from>
    <xdr:to>
      <xdr:col>5</xdr:col>
      <xdr:colOff>2536825</xdr:colOff>
      <xdr:row>302</xdr:row>
      <xdr:rowOff>336550</xdr:rowOff>
    </xdr:to>
    <xdr:pic>
      <xdr:nvPicPr>
        <xdr:cNvPr id="302" name="$F$303" descr="=JCSYSStructure(&quot;AFCDF9FB919D97FE69711D6CBEED8E59&quot;)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9477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303</xdr:row>
      <xdr:rowOff>25400</xdr:rowOff>
    </xdr:from>
    <xdr:to>
      <xdr:col>5</xdr:col>
      <xdr:colOff>2536825</xdr:colOff>
      <xdr:row>303</xdr:row>
      <xdr:rowOff>336550</xdr:rowOff>
    </xdr:to>
    <xdr:pic>
      <xdr:nvPicPr>
        <xdr:cNvPr id="303" name="$F$304" descr="=JCSYSStructure(&quot;E5C47EA875DFEF877412D14B6853EADE&quot;)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09839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304</xdr:row>
      <xdr:rowOff>25400</xdr:rowOff>
    </xdr:from>
    <xdr:to>
      <xdr:col>5</xdr:col>
      <xdr:colOff>2536825</xdr:colOff>
      <xdr:row>304</xdr:row>
      <xdr:rowOff>336550</xdr:rowOff>
    </xdr:to>
    <xdr:pic>
      <xdr:nvPicPr>
        <xdr:cNvPr id="304" name="$F$305" descr="=JCSYSStructure(&quot;061013A2AA7FC2171512C5163E103E8A&quot;)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0201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305</xdr:row>
      <xdr:rowOff>25400</xdr:rowOff>
    </xdr:from>
    <xdr:to>
      <xdr:col>5</xdr:col>
      <xdr:colOff>2536825</xdr:colOff>
      <xdr:row>305</xdr:row>
      <xdr:rowOff>336550</xdr:rowOff>
    </xdr:to>
    <xdr:pic>
      <xdr:nvPicPr>
        <xdr:cNvPr id="305" name="$F$306" descr="=JCSYSStructure(&quot;DC6D6574F55C290C92E5079D13D45CB3&quot;)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0563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306</xdr:row>
      <xdr:rowOff>25400</xdr:rowOff>
    </xdr:from>
    <xdr:to>
      <xdr:col>5</xdr:col>
      <xdr:colOff>2536825</xdr:colOff>
      <xdr:row>306</xdr:row>
      <xdr:rowOff>336550</xdr:rowOff>
    </xdr:to>
    <xdr:pic>
      <xdr:nvPicPr>
        <xdr:cNvPr id="306" name="$F$307" descr="=JCSYSStructure(&quot;6E03937EE1153C7A4A64D1A7E8F4B4ED&quot;)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0924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307</xdr:row>
      <xdr:rowOff>25400</xdr:rowOff>
    </xdr:from>
    <xdr:to>
      <xdr:col>5</xdr:col>
      <xdr:colOff>2536825</xdr:colOff>
      <xdr:row>307</xdr:row>
      <xdr:rowOff>336550</xdr:rowOff>
    </xdr:to>
    <xdr:pic>
      <xdr:nvPicPr>
        <xdr:cNvPr id="307" name="$F$308" descr="=JCSYSStructure(&quot;11DBA37177E675CED1CE4804D81CA538&quot;)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1286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308</xdr:row>
      <xdr:rowOff>25400</xdr:rowOff>
    </xdr:from>
    <xdr:to>
      <xdr:col>5</xdr:col>
      <xdr:colOff>2536825</xdr:colOff>
      <xdr:row>308</xdr:row>
      <xdr:rowOff>336550</xdr:rowOff>
    </xdr:to>
    <xdr:pic>
      <xdr:nvPicPr>
        <xdr:cNvPr id="308" name="$F$309" descr="=JCSYSStructure(&quot;91036E61F0FB391D66BE9C36F5116062&quot;)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1648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309</xdr:row>
      <xdr:rowOff>25400</xdr:rowOff>
    </xdr:from>
    <xdr:to>
      <xdr:col>5</xdr:col>
      <xdr:colOff>2536825</xdr:colOff>
      <xdr:row>309</xdr:row>
      <xdr:rowOff>336550</xdr:rowOff>
    </xdr:to>
    <xdr:pic>
      <xdr:nvPicPr>
        <xdr:cNvPr id="309" name="$F$310" descr="=JCSYSStructure(&quot;31F3C7F10CC2A19F191CC1E72A9CA983&quot;)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2010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310</xdr:row>
      <xdr:rowOff>25400</xdr:rowOff>
    </xdr:from>
    <xdr:to>
      <xdr:col>5</xdr:col>
      <xdr:colOff>2536825</xdr:colOff>
      <xdr:row>310</xdr:row>
      <xdr:rowOff>336550</xdr:rowOff>
    </xdr:to>
    <xdr:pic>
      <xdr:nvPicPr>
        <xdr:cNvPr id="310" name="$F$311" descr="=JCSYSStructure(&quot;8E9561D2A71EC9BF97DD5C89CB7669FE&quot;)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2372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311</xdr:row>
      <xdr:rowOff>25400</xdr:rowOff>
    </xdr:from>
    <xdr:to>
      <xdr:col>5</xdr:col>
      <xdr:colOff>2536825</xdr:colOff>
      <xdr:row>311</xdr:row>
      <xdr:rowOff>336550</xdr:rowOff>
    </xdr:to>
    <xdr:pic>
      <xdr:nvPicPr>
        <xdr:cNvPr id="311" name="$F$312" descr="=JCSYSStructure(&quot;7409F6743BF44D1CF2FF759A374AA45E&quot;)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2734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312</xdr:row>
      <xdr:rowOff>25400</xdr:rowOff>
    </xdr:from>
    <xdr:to>
      <xdr:col>5</xdr:col>
      <xdr:colOff>2536825</xdr:colOff>
      <xdr:row>312</xdr:row>
      <xdr:rowOff>336550</xdr:rowOff>
    </xdr:to>
    <xdr:pic>
      <xdr:nvPicPr>
        <xdr:cNvPr id="312" name="$F$313" descr="=JCSYSStructure(&quot;277A7860B4DADB52E63084135AC0BA98&quot;)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3096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313</xdr:row>
      <xdr:rowOff>25400</xdr:rowOff>
    </xdr:from>
    <xdr:to>
      <xdr:col>5</xdr:col>
      <xdr:colOff>2536825</xdr:colOff>
      <xdr:row>313</xdr:row>
      <xdr:rowOff>336550</xdr:rowOff>
    </xdr:to>
    <xdr:pic>
      <xdr:nvPicPr>
        <xdr:cNvPr id="313" name="$F$314" descr="=JCSYSStructure(&quot;E55AAA9D2E4835F63BBEE27281E32AE1&quot;)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3458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314</xdr:row>
      <xdr:rowOff>25400</xdr:rowOff>
    </xdr:from>
    <xdr:to>
      <xdr:col>5</xdr:col>
      <xdr:colOff>2536825</xdr:colOff>
      <xdr:row>314</xdr:row>
      <xdr:rowOff>336550</xdr:rowOff>
    </xdr:to>
    <xdr:pic>
      <xdr:nvPicPr>
        <xdr:cNvPr id="314" name="$F$315" descr="=JCSYSStructure(&quot;B8D340B1EE5885C6E99BA528441333EF&quot;)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3820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315</xdr:row>
      <xdr:rowOff>25400</xdr:rowOff>
    </xdr:from>
    <xdr:to>
      <xdr:col>5</xdr:col>
      <xdr:colOff>2536825</xdr:colOff>
      <xdr:row>315</xdr:row>
      <xdr:rowOff>336550</xdr:rowOff>
    </xdr:to>
    <xdr:pic>
      <xdr:nvPicPr>
        <xdr:cNvPr id="315" name="$F$316" descr="=JCSYSStructure(&quot;473F130C5A20B18D39D39BDEA9D88C1D&quot;)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4182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316</xdr:row>
      <xdr:rowOff>25400</xdr:rowOff>
    </xdr:from>
    <xdr:to>
      <xdr:col>5</xdr:col>
      <xdr:colOff>2536825</xdr:colOff>
      <xdr:row>316</xdr:row>
      <xdr:rowOff>336550</xdr:rowOff>
    </xdr:to>
    <xdr:pic>
      <xdr:nvPicPr>
        <xdr:cNvPr id="316" name="$F$317" descr="=JCSYSStructure(&quot;575D8753B890635DB2812E86FE5FD5BD&quot;)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4544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317</xdr:row>
      <xdr:rowOff>25400</xdr:rowOff>
    </xdr:from>
    <xdr:to>
      <xdr:col>5</xdr:col>
      <xdr:colOff>2536825</xdr:colOff>
      <xdr:row>317</xdr:row>
      <xdr:rowOff>336550</xdr:rowOff>
    </xdr:to>
    <xdr:pic>
      <xdr:nvPicPr>
        <xdr:cNvPr id="317" name="$F$318" descr="=JCSYSStructure(&quot;4E7D92F159011A80C1752B40C1ECAEE7&quot;)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4906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318</xdr:row>
      <xdr:rowOff>25400</xdr:rowOff>
    </xdr:from>
    <xdr:to>
      <xdr:col>5</xdr:col>
      <xdr:colOff>2536825</xdr:colOff>
      <xdr:row>318</xdr:row>
      <xdr:rowOff>336550</xdr:rowOff>
    </xdr:to>
    <xdr:pic>
      <xdr:nvPicPr>
        <xdr:cNvPr id="318" name="$F$319" descr="=JCSYSStructure(&quot;E5D22D3BC79CE2D15830B3B8120E9F9F&quot;)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5268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319</xdr:row>
      <xdr:rowOff>25400</xdr:rowOff>
    </xdr:from>
    <xdr:to>
      <xdr:col>5</xdr:col>
      <xdr:colOff>2536825</xdr:colOff>
      <xdr:row>319</xdr:row>
      <xdr:rowOff>336550</xdr:rowOff>
    </xdr:to>
    <xdr:pic>
      <xdr:nvPicPr>
        <xdr:cNvPr id="319" name="$F$320" descr="=JCSYSStructure(&quot;5BF359ACEAA47F7D22A341EF237BA2FD&quot;)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5630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320</xdr:row>
      <xdr:rowOff>25400</xdr:rowOff>
    </xdr:from>
    <xdr:to>
      <xdr:col>5</xdr:col>
      <xdr:colOff>2536825</xdr:colOff>
      <xdr:row>320</xdr:row>
      <xdr:rowOff>336550</xdr:rowOff>
    </xdr:to>
    <xdr:pic>
      <xdr:nvPicPr>
        <xdr:cNvPr id="320" name="$F$321" descr="=JCSYSStructure(&quot;35C473BE11C26D7761A37DC445BA4C4A&quot;)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5992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321</xdr:row>
      <xdr:rowOff>25400</xdr:rowOff>
    </xdr:from>
    <xdr:to>
      <xdr:col>5</xdr:col>
      <xdr:colOff>2536825</xdr:colOff>
      <xdr:row>321</xdr:row>
      <xdr:rowOff>336550</xdr:rowOff>
    </xdr:to>
    <xdr:pic>
      <xdr:nvPicPr>
        <xdr:cNvPr id="321" name="$F$322" descr="=JCSYSStructure(&quot;98494A2F0F6B3A17789DA8B1C42DC61E&quot;)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6354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322</xdr:row>
      <xdr:rowOff>25400</xdr:rowOff>
    </xdr:from>
    <xdr:to>
      <xdr:col>5</xdr:col>
      <xdr:colOff>2536825</xdr:colOff>
      <xdr:row>322</xdr:row>
      <xdr:rowOff>336550</xdr:rowOff>
    </xdr:to>
    <xdr:pic>
      <xdr:nvPicPr>
        <xdr:cNvPr id="322" name="$F$323" descr="=JCSYSStructure(&quot;918610E10149EFA06DC24938085D7EC7&quot;)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6716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323</xdr:row>
      <xdr:rowOff>25400</xdr:rowOff>
    </xdr:from>
    <xdr:to>
      <xdr:col>5</xdr:col>
      <xdr:colOff>2536825</xdr:colOff>
      <xdr:row>323</xdr:row>
      <xdr:rowOff>336550</xdr:rowOff>
    </xdr:to>
    <xdr:pic>
      <xdr:nvPicPr>
        <xdr:cNvPr id="323" name="$F$324" descr="=JCSYSStructure(&quot;AC0C3A8280A97BA31DAF8149246CE74B&quot;)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7078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324</xdr:row>
      <xdr:rowOff>25400</xdr:rowOff>
    </xdr:from>
    <xdr:to>
      <xdr:col>5</xdr:col>
      <xdr:colOff>2536825</xdr:colOff>
      <xdr:row>324</xdr:row>
      <xdr:rowOff>336550</xdr:rowOff>
    </xdr:to>
    <xdr:pic>
      <xdr:nvPicPr>
        <xdr:cNvPr id="324" name="$F$325" descr="=JCSYSStructure(&quot;0E2CB184CD468034C9C10FF96FAA1C8B&quot;)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7440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325</xdr:row>
      <xdr:rowOff>25400</xdr:rowOff>
    </xdr:from>
    <xdr:to>
      <xdr:col>5</xdr:col>
      <xdr:colOff>2536825</xdr:colOff>
      <xdr:row>325</xdr:row>
      <xdr:rowOff>336550</xdr:rowOff>
    </xdr:to>
    <xdr:pic>
      <xdr:nvPicPr>
        <xdr:cNvPr id="325" name="$F$326" descr="=JCSYSStructure(&quot;5FC6AAB576DEF7E7D158A664A9DBB9FF&quot;)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7802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327</xdr:row>
      <xdr:rowOff>25400</xdr:rowOff>
    </xdr:from>
    <xdr:to>
      <xdr:col>5</xdr:col>
      <xdr:colOff>2536825</xdr:colOff>
      <xdr:row>327</xdr:row>
      <xdr:rowOff>336550</xdr:rowOff>
    </xdr:to>
    <xdr:pic>
      <xdr:nvPicPr>
        <xdr:cNvPr id="326" name="$F$328" descr="=JCSYSStructure(&quot;73AC40A32AD3AD70F984BC312D2A8BE8&quot;)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8525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328</xdr:row>
      <xdr:rowOff>25400</xdr:rowOff>
    </xdr:from>
    <xdr:to>
      <xdr:col>5</xdr:col>
      <xdr:colOff>2536825</xdr:colOff>
      <xdr:row>328</xdr:row>
      <xdr:rowOff>336550</xdr:rowOff>
    </xdr:to>
    <xdr:pic>
      <xdr:nvPicPr>
        <xdr:cNvPr id="327" name="$F$329" descr="=JCSYSStructure(&quot;F31275849429BA6FA00843BDB9472942&quot;)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8887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329</xdr:row>
      <xdr:rowOff>25400</xdr:rowOff>
    </xdr:from>
    <xdr:to>
      <xdr:col>5</xdr:col>
      <xdr:colOff>2536825</xdr:colOff>
      <xdr:row>329</xdr:row>
      <xdr:rowOff>336550</xdr:rowOff>
    </xdr:to>
    <xdr:pic>
      <xdr:nvPicPr>
        <xdr:cNvPr id="328" name="$F$330" descr="=JCSYSStructure(&quot;497B2DBFE41A7DB2EEFD1510503BB9B8&quot;)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9249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330</xdr:row>
      <xdr:rowOff>25400</xdr:rowOff>
    </xdr:from>
    <xdr:to>
      <xdr:col>5</xdr:col>
      <xdr:colOff>2536825</xdr:colOff>
      <xdr:row>330</xdr:row>
      <xdr:rowOff>336550</xdr:rowOff>
    </xdr:to>
    <xdr:pic>
      <xdr:nvPicPr>
        <xdr:cNvPr id="329" name="$F$331" descr="=JCSYSStructure(&quot;CC3DEA92648DD810BCCB53B9E540C025&quot;)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9611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331</xdr:row>
      <xdr:rowOff>25400</xdr:rowOff>
    </xdr:from>
    <xdr:to>
      <xdr:col>5</xdr:col>
      <xdr:colOff>2536825</xdr:colOff>
      <xdr:row>331</xdr:row>
      <xdr:rowOff>336550</xdr:rowOff>
    </xdr:to>
    <xdr:pic>
      <xdr:nvPicPr>
        <xdr:cNvPr id="330" name="$F$332" descr="=JCSYSStructure(&quot;8AD70CF0B6D0BE5D3C440EE0FC8BF864&quot;)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19973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332</xdr:row>
      <xdr:rowOff>25400</xdr:rowOff>
    </xdr:from>
    <xdr:to>
      <xdr:col>5</xdr:col>
      <xdr:colOff>2536825</xdr:colOff>
      <xdr:row>332</xdr:row>
      <xdr:rowOff>336550</xdr:rowOff>
    </xdr:to>
    <xdr:pic>
      <xdr:nvPicPr>
        <xdr:cNvPr id="331" name="$F$333" descr="=JCSYSStructure(&quot;D1578063EF058175931008DA2A4DBF2A&quot;)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0335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333</xdr:row>
      <xdr:rowOff>25400</xdr:rowOff>
    </xdr:from>
    <xdr:to>
      <xdr:col>5</xdr:col>
      <xdr:colOff>2536825</xdr:colOff>
      <xdr:row>333</xdr:row>
      <xdr:rowOff>336550</xdr:rowOff>
    </xdr:to>
    <xdr:pic>
      <xdr:nvPicPr>
        <xdr:cNvPr id="332" name="$F$334" descr="=JCSYSStructure(&quot;5D3BD6BCA684CDFCFF2BA8CB4B0A30AE&quot;)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0697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334</xdr:row>
      <xdr:rowOff>25400</xdr:rowOff>
    </xdr:from>
    <xdr:to>
      <xdr:col>5</xdr:col>
      <xdr:colOff>2536825</xdr:colOff>
      <xdr:row>334</xdr:row>
      <xdr:rowOff>336550</xdr:rowOff>
    </xdr:to>
    <xdr:pic>
      <xdr:nvPicPr>
        <xdr:cNvPr id="333" name="$F$335" descr="=JCSYSStructure(&quot;CEFDD86F4A5404981CCE4375A0AB29AC&quot;)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1059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336</xdr:row>
      <xdr:rowOff>25400</xdr:rowOff>
    </xdr:from>
    <xdr:to>
      <xdr:col>5</xdr:col>
      <xdr:colOff>2536825</xdr:colOff>
      <xdr:row>336</xdr:row>
      <xdr:rowOff>336550</xdr:rowOff>
    </xdr:to>
    <xdr:pic>
      <xdr:nvPicPr>
        <xdr:cNvPr id="334" name="$F$337" descr="=JCSYSStructure(&quot;A6112BEECE08A7F937A44B4463EF864F&quot;)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1783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337</xdr:row>
      <xdr:rowOff>25400</xdr:rowOff>
    </xdr:from>
    <xdr:to>
      <xdr:col>5</xdr:col>
      <xdr:colOff>2536825</xdr:colOff>
      <xdr:row>337</xdr:row>
      <xdr:rowOff>336550</xdr:rowOff>
    </xdr:to>
    <xdr:pic>
      <xdr:nvPicPr>
        <xdr:cNvPr id="335" name="$F$338" descr="=JCSYSStructure(&quot;BD06163D479370F7EF0BF507F7FF88A5&quot;)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2145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338</xdr:row>
      <xdr:rowOff>25400</xdr:rowOff>
    </xdr:from>
    <xdr:to>
      <xdr:col>5</xdr:col>
      <xdr:colOff>2536825</xdr:colOff>
      <xdr:row>338</xdr:row>
      <xdr:rowOff>336550</xdr:rowOff>
    </xdr:to>
    <xdr:pic>
      <xdr:nvPicPr>
        <xdr:cNvPr id="336" name="$F$339" descr="=JCSYSStructure(&quot;9597A9BE8543DDA07131440B91AE0040&quot;)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2507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339</xdr:row>
      <xdr:rowOff>25400</xdr:rowOff>
    </xdr:from>
    <xdr:to>
      <xdr:col>5</xdr:col>
      <xdr:colOff>2536825</xdr:colOff>
      <xdr:row>339</xdr:row>
      <xdr:rowOff>336550</xdr:rowOff>
    </xdr:to>
    <xdr:pic>
      <xdr:nvPicPr>
        <xdr:cNvPr id="337" name="$F$340" descr="=JCSYSStructure(&quot;EDFA2ED178A07E86E2752ED84A5CB1A8&quot;)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2869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340</xdr:row>
      <xdr:rowOff>25400</xdr:rowOff>
    </xdr:from>
    <xdr:to>
      <xdr:col>5</xdr:col>
      <xdr:colOff>2536825</xdr:colOff>
      <xdr:row>340</xdr:row>
      <xdr:rowOff>336550</xdr:rowOff>
    </xdr:to>
    <xdr:pic>
      <xdr:nvPicPr>
        <xdr:cNvPr id="338" name="$F$341" descr="=JCSYSStructure(&quot;AB25CEDE5258E40B788D9CF9191F17F3&quot;)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3231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341</xdr:row>
      <xdr:rowOff>25400</xdr:rowOff>
    </xdr:from>
    <xdr:to>
      <xdr:col>5</xdr:col>
      <xdr:colOff>2536825</xdr:colOff>
      <xdr:row>341</xdr:row>
      <xdr:rowOff>336550</xdr:rowOff>
    </xdr:to>
    <xdr:pic>
      <xdr:nvPicPr>
        <xdr:cNvPr id="339" name="$F$342" descr="=JCSYSStructure(&quot;176BA1711D9594D1021477194F1AC69C&quot;)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3593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342</xdr:row>
      <xdr:rowOff>25400</xdr:rowOff>
    </xdr:from>
    <xdr:to>
      <xdr:col>5</xdr:col>
      <xdr:colOff>2536825</xdr:colOff>
      <xdr:row>342</xdr:row>
      <xdr:rowOff>336550</xdr:rowOff>
    </xdr:to>
    <xdr:pic>
      <xdr:nvPicPr>
        <xdr:cNvPr id="340" name="$F$343" descr="=JCSYSStructure(&quot;576CD10A8797676B2BC76E649A444443&quot;)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3955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343</xdr:row>
      <xdr:rowOff>25400</xdr:rowOff>
    </xdr:from>
    <xdr:to>
      <xdr:col>5</xdr:col>
      <xdr:colOff>2536825</xdr:colOff>
      <xdr:row>343</xdr:row>
      <xdr:rowOff>336550</xdr:rowOff>
    </xdr:to>
    <xdr:pic>
      <xdr:nvPicPr>
        <xdr:cNvPr id="341" name="$F$344" descr="=JCSYSStructure(&quot;C4B4E629DA2822C4EE3293F158C1FC43&quot;)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4317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344</xdr:row>
      <xdr:rowOff>25400</xdr:rowOff>
    </xdr:from>
    <xdr:to>
      <xdr:col>5</xdr:col>
      <xdr:colOff>2536825</xdr:colOff>
      <xdr:row>344</xdr:row>
      <xdr:rowOff>336550</xdr:rowOff>
    </xdr:to>
    <xdr:pic>
      <xdr:nvPicPr>
        <xdr:cNvPr id="342" name="$F$345" descr="=JCSYSStructure(&quot;853AA0916CA5504DD49D550370A53371&quot;)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4679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345</xdr:row>
      <xdr:rowOff>25400</xdr:rowOff>
    </xdr:from>
    <xdr:to>
      <xdr:col>5</xdr:col>
      <xdr:colOff>2536825</xdr:colOff>
      <xdr:row>345</xdr:row>
      <xdr:rowOff>336550</xdr:rowOff>
    </xdr:to>
    <xdr:pic>
      <xdr:nvPicPr>
        <xdr:cNvPr id="343" name="$F$346" descr="=JCSYSStructure(&quot;AB6715E78904180FA3D5866876D815BA&quot;)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5041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346</xdr:row>
      <xdr:rowOff>25400</xdr:rowOff>
    </xdr:from>
    <xdr:to>
      <xdr:col>5</xdr:col>
      <xdr:colOff>2536825</xdr:colOff>
      <xdr:row>346</xdr:row>
      <xdr:rowOff>336550</xdr:rowOff>
    </xdr:to>
    <xdr:pic>
      <xdr:nvPicPr>
        <xdr:cNvPr id="344" name="$F$347" descr="=JCSYSStructure(&quot;0131CACB2BD2287FDFF9F8FCB5727C29&quot;)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5402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347</xdr:row>
      <xdr:rowOff>25400</xdr:rowOff>
    </xdr:from>
    <xdr:to>
      <xdr:col>5</xdr:col>
      <xdr:colOff>2536825</xdr:colOff>
      <xdr:row>347</xdr:row>
      <xdr:rowOff>336550</xdr:rowOff>
    </xdr:to>
    <xdr:pic>
      <xdr:nvPicPr>
        <xdr:cNvPr id="345" name="$F$348" descr="=JCSYSStructure(&quot;16A7DDDFF20C68EC6DFB4AECBF950146&quot;)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5764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348</xdr:row>
      <xdr:rowOff>25400</xdr:rowOff>
    </xdr:from>
    <xdr:to>
      <xdr:col>5</xdr:col>
      <xdr:colOff>2536825</xdr:colOff>
      <xdr:row>348</xdr:row>
      <xdr:rowOff>336550</xdr:rowOff>
    </xdr:to>
    <xdr:pic>
      <xdr:nvPicPr>
        <xdr:cNvPr id="346" name="$F$349" descr="=JCSYSStructure(&quot;B54EE9E02FE7340F7EACDFDD49F3D48D&quot;)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6126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349</xdr:row>
      <xdr:rowOff>25400</xdr:rowOff>
    </xdr:from>
    <xdr:to>
      <xdr:col>5</xdr:col>
      <xdr:colOff>2536825</xdr:colOff>
      <xdr:row>349</xdr:row>
      <xdr:rowOff>336550</xdr:rowOff>
    </xdr:to>
    <xdr:pic>
      <xdr:nvPicPr>
        <xdr:cNvPr id="347" name="$F$350" descr="=JCSYSStructure(&quot;909C35677C52D9651BEE7996B640A32A&quot;)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6488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350</xdr:row>
      <xdr:rowOff>25400</xdr:rowOff>
    </xdr:from>
    <xdr:to>
      <xdr:col>5</xdr:col>
      <xdr:colOff>2536825</xdr:colOff>
      <xdr:row>350</xdr:row>
      <xdr:rowOff>336550</xdr:rowOff>
    </xdr:to>
    <xdr:pic>
      <xdr:nvPicPr>
        <xdr:cNvPr id="348" name="$F$351" descr="=JCSYSStructure(&quot;EAE51D4850F42F365B5192C2D0ED2229&quot;)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6850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351</xdr:row>
      <xdr:rowOff>25400</xdr:rowOff>
    </xdr:from>
    <xdr:to>
      <xdr:col>5</xdr:col>
      <xdr:colOff>2536825</xdr:colOff>
      <xdr:row>351</xdr:row>
      <xdr:rowOff>336550</xdr:rowOff>
    </xdr:to>
    <xdr:pic>
      <xdr:nvPicPr>
        <xdr:cNvPr id="349" name="$F$352" descr="=JCSYSStructure(&quot;E71EFB18B88877B75308C34FC64700BF&quot;)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7212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352</xdr:row>
      <xdr:rowOff>25400</xdr:rowOff>
    </xdr:from>
    <xdr:to>
      <xdr:col>5</xdr:col>
      <xdr:colOff>2536825</xdr:colOff>
      <xdr:row>352</xdr:row>
      <xdr:rowOff>336550</xdr:rowOff>
    </xdr:to>
    <xdr:pic>
      <xdr:nvPicPr>
        <xdr:cNvPr id="350" name="$F$353" descr="=JCSYSStructure(&quot;62DBB0F43C5B557ED57A8BC42D51C90E&quot;)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7574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353</xdr:row>
      <xdr:rowOff>25400</xdr:rowOff>
    </xdr:from>
    <xdr:to>
      <xdr:col>5</xdr:col>
      <xdr:colOff>2536825</xdr:colOff>
      <xdr:row>353</xdr:row>
      <xdr:rowOff>336550</xdr:rowOff>
    </xdr:to>
    <xdr:pic>
      <xdr:nvPicPr>
        <xdr:cNvPr id="351" name="$F$354" descr="=JCSYSStructure(&quot;D8704E1A317C18B9526A3E8C88DFF8EA&quot;)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7936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354</xdr:row>
      <xdr:rowOff>25400</xdr:rowOff>
    </xdr:from>
    <xdr:to>
      <xdr:col>5</xdr:col>
      <xdr:colOff>2536825</xdr:colOff>
      <xdr:row>354</xdr:row>
      <xdr:rowOff>336550</xdr:rowOff>
    </xdr:to>
    <xdr:pic>
      <xdr:nvPicPr>
        <xdr:cNvPr id="352" name="$F$355" descr="=JCSYSStructure(&quot;5734CA8C2ADD4C52ABE7A99F39C08B83&quot;)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8298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355</xdr:row>
      <xdr:rowOff>25400</xdr:rowOff>
    </xdr:from>
    <xdr:to>
      <xdr:col>5</xdr:col>
      <xdr:colOff>2536825</xdr:colOff>
      <xdr:row>355</xdr:row>
      <xdr:rowOff>336550</xdr:rowOff>
    </xdr:to>
    <xdr:pic>
      <xdr:nvPicPr>
        <xdr:cNvPr id="353" name="$F$356" descr="=JCSYSStructure(&quot;B703055E4057D96A926E0A87FC7F3669&quot;)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8660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356</xdr:row>
      <xdr:rowOff>25400</xdr:rowOff>
    </xdr:from>
    <xdr:to>
      <xdr:col>5</xdr:col>
      <xdr:colOff>2536825</xdr:colOff>
      <xdr:row>356</xdr:row>
      <xdr:rowOff>336550</xdr:rowOff>
    </xdr:to>
    <xdr:pic>
      <xdr:nvPicPr>
        <xdr:cNvPr id="354" name="$F$357" descr="=JCSYSStructure(&quot;9EFFDA3933A812E61915E8E06E8AA21D&quot;)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9022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357</xdr:row>
      <xdr:rowOff>25400</xdr:rowOff>
    </xdr:from>
    <xdr:to>
      <xdr:col>5</xdr:col>
      <xdr:colOff>2536825</xdr:colOff>
      <xdr:row>357</xdr:row>
      <xdr:rowOff>336550</xdr:rowOff>
    </xdr:to>
    <xdr:pic>
      <xdr:nvPicPr>
        <xdr:cNvPr id="355" name="$F$358" descr="=JCSYSStructure(&quot;EFC55E7A288E39239FACC654F6EBFDE1&quot;)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9384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358</xdr:row>
      <xdr:rowOff>25400</xdr:rowOff>
    </xdr:from>
    <xdr:to>
      <xdr:col>5</xdr:col>
      <xdr:colOff>2536825</xdr:colOff>
      <xdr:row>358</xdr:row>
      <xdr:rowOff>336550</xdr:rowOff>
    </xdr:to>
    <xdr:pic>
      <xdr:nvPicPr>
        <xdr:cNvPr id="356" name="$F$359" descr="=JCSYSStructure(&quot;71AB672CE01DB5E694960ACAC27900D8&quot;)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29746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359</xdr:row>
      <xdr:rowOff>25400</xdr:rowOff>
    </xdr:from>
    <xdr:to>
      <xdr:col>5</xdr:col>
      <xdr:colOff>2536825</xdr:colOff>
      <xdr:row>359</xdr:row>
      <xdr:rowOff>336550</xdr:rowOff>
    </xdr:to>
    <xdr:pic>
      <xdr:nvPicPr>
        <xdr:cNvPr id="357" name="$F$360" descr="=JCSYSStructure(&quot;7EF9A1714168E2AAE92798A6B075E36A&quot;)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0108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360</xdr:row>
      <xdr:rowOff>25400</xdr:rowOff>
    </xdr:from>
    <xdr:to>
      <xdr:col>5</xdr:col>
      <xdr:colOff>2536825</xdr:colOff>
      <xdr:row>360</xdr:row>
      <xdr:rowOff>336550</xdr:rowOff>
    </xdr:to>
    <xdr:pic>
      <xdr:nvPicPr>
        <xdr:cNvPr id="358" name="$F$361" descr="=JCSYSStructure(&quot;811F19F2A9E3B3945D8F84656E8E866F&quot;)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0470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361</xdr:row>
      <xdr:rowOff>25400</xdr:rowOff>
    </xdr:from>
    <xdr:to>
      <xdr:col>5</xdr:col>
      <xdr:colOff>2536825</xdr:colOff>
      <xdr:row>361</xdr:row>
      <xdr:rowOff>336550</xdr:rowOff>
    </xdr:to>
    <xdr:pic>
      <xdr:nvPicPr>
        <xdr:cNvPr id="359" name="$F$362" descr="=JCSYSStructure(&quot;B32210978782B9F7AFC458B76A300814&quot;)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0832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362</xdr:row>
      <xdr:rowOff>25400</xdr:rowOff>
    </xdr:from>
    <xdr:to>
      <xdr:col>5</xdr:col>
      <xdr:colOff>2536825</xdr:colOff>
      <xdr:row>362</xdr:row>
      <xdr:rowOff>336550</xdr:rowOff>
    </xdr:to>
    <xdr:pic>
      <xdr:nvPicPr>
        <xdr:cNvPr id="360" name="$F$363" descr="=JCSYSStructure(&quot;687A011887DB25FB4FDDF26C885F9C5D&quot;)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1194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363</xdr:row>
      <xdr:rowOff>25400</xdr:rowOff>
    </xdr:from>
    <xdr:to>
      <xdr:col>5</xdr:col>
      <xdr:colOff>2536825</xdr:colOff>
      <xdr:row>363</xdr:row>
      <xdr:rowOff>336550</xdr:rowOff>
    </xdr:to>
    <xdr:pic>
      <xdr:nvPicPr>
        <xdr:cNvPr id="361" name="$F$364" descr="=JCSYSStructure(&quot;0EEE215415B35E90C2F31C68D8053C12&quot;)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1556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364</xdr:row>
      <xdr:rowOff>25400</xdr:rowOff>
    </xdr:from>
    <xdr:to>
      <xdr:col>5</xdr:col>
      <xdr:colOff>2536825</xdr:colOff>
      <xdr:row>364</xdr:row>
      <xdr:rowOff>336550</xdr:rowOff>
    </xdr:to>
    <xdr:pic>
      <xdr:nvPicPr>
        <xdr:cNvPr id="362" name="$F$365" descr="=JCSYSStructure(&quot;09F1665D2BC5546A9C1241F7BABB5083&quot;)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1918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365</xdr:row>
      <xdr:rowOff>25400</xdr:rowOff>
    </xdr:from>
    <xdr:to>
      <xdr:col>5</xdr:col>
      <xdr:colOff>2536825</xdr:colOff>
      <xdr:row>365</xdr:row>
      <xdr:rowOff>336550</xdr:rowOff>
    </xdr:to>
    <xdr:pic>
      <xdr:nvPicPr>
        <xdr:cNvPr id="363" name="$F$366" descr="=JCSYSStructure(&quot;1D1BD4C4B1C54225D98AE03396588AE7&quot;)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2280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366</xdr:row>
      <xdr:rowOff>25400</xdr:rowOff>
    </xdr:from>
    <xdr:to>
      <xdr:col>5</xdr:col>
      <xdr:colOff>2536825</xdr:colOff>
      <xdr:row>366</xdr:row>
      <xdr:rowOff>336550</xdr:rowOff>
    </xdr:to>
    <xdr:pic>
      <xdr:nvPicPr>
        <xdr:cNvPr id="364" name="$F$367" descr="=JCSYSStructure(&quot;019CF6DF68493F37F363DB99516879A2&quot;)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2641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367</xdr:row>
      <xdr:rowOff>25400</xdr:rowOff>
    </xdr:from>
    <xdr:to>
      <xdr:col>5</xdr:col>
      <xdr:colOff>2536825</xdr:colOff>
      <xdr:row>367</xdr:row>
      <xdr:rowOff>336550</xdr:rowOff>
    </xdr:to>
    <xdr:pic>
      <xdr:nvPicPr>
        <xdr:cNvPr id="365" name="$F$368" descr="=JCSYSStructure(&quot;164F37A522971198E4770FCFF99E2F1B&quot;)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3003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368</xdr:row>
      <xdr:rowOff>25400</xdr:rowOff>
    </xdr:from>
    <xdr:to>
      <xdr:col>5</xdr:col>
      <xdr:colOff>2536825</xdr:colOff>
      <xdr:row>368</xdr:row>
      <xdr:rowOff>336550</xdr:rowOff>
    </xdr:to>
    <xdr:pic>
      <xdr:nvPicPr>
        <xdr:cNvPr id="366" name="$F$369" descr="=JCSYSStructure(&quot;78CD5B893A95E0163CE3635A6D1FA0A7&quot;)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3365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369</xdr:row>
      <xdr:rowOff>25400</xdr:rowOff>
    </xdr:from>
    <xdr:to>
      <xdr:col>5</xdr:col>
      <xdr:colOff>2536825</xdr:colOff>
      <xdr:row>369</xdr:row>
      <xdr:rowOff>336550</xdr:rowOff>
    </xdr:to>
    <xdr:pic>
      <xdr:nvPicPr>
        <xdr:cNvPr id="367" name="$F$370" descr="=JCSYSStructure(&quot;F26E1AA01A4DDACAEC181BFC205F35D8&quot;)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3727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370</xdr:row>
      <xdr:rowOff>25400</xdr:rowOff>
    </xdr:from>
    <xdr:to>
      <xdr:col>5</xdr:col>
      <xdr:colOff>2536825</xdr:colOff>
      <xdr:row>370</xdr:row>
      <xdr:rowOff>336550</xdr:rowOff>
    </xdr:to>
    <xdr:pic>
      <xdr:nvPicPr>
        <xdr:cNvPr id="368" name="$F$371" descr="=JCSYSStructure(&quot;8FAF8505E5087DAA3184C1C45B414A62&quot;)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4089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371</xdr:row>
      <xdr:rowOff>25400</xdr:rowOff>
    </xdr:from>
    <xdr:to>
      <xdr:col>5</xdr:col>
      <xdr:colOff>2536825</xdr:colOff>
      <xdr:row>371</xdr:row>
      <xdr:rowOff>336550</xdr:rowOff>
    </xdr:to>
    <xdr:pic>
      <xdr:nvPicPr>
        <xdr:cNvPr id="369" name="$F$372" descr="=JCSYSStructure(&quot;6EA3D4F351E7179277314EA872EED8AA&quot;)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4451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372</xdr:row>
      <xdr:rowOff>25400</xdr:rowOff>
    </xdr:from>
    <xdr:to>
      <xdr:col>5</xdr:col>
      <xdr:colOff>2536825</xdr:colOff>
      <xdr:row>372</xdr:row>
      <xdr:rowOff>336550</xdr:rowOff>
    </xdr:to>
    <xdr:pic>
      <xdr:nvPicPr>
        <xdr:cNvPr id="370" name="$F$373" descr="=JCSYSStructure(&quot;0E0EC85F448DF896BDDB125D57C28AE2&quot;)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4813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373</xdr:row>
      <xdr:rowOff>25400</xdr:rowOff>
    </xdr:from>
    <xdr:to>
      <xdr:col>5</xdr:col>
      <xdr:colOff>2536825</xdr:colOff>
      <xdr:row>373</xdr:row>
      <xdr:rowOff>336550</xdr:rowOff>
    </xdr:to>
    <xdr:pic>
      <xdr:nvPicPr>
        <xdr:cNvPr id="371" name="$F$374" descr="=JCSYSStructure(&quot;39F968877BF9FB052B916EB7F160D4F5&quot;)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5175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374</xdr:row>
      <xdr:rowOff>25400</xdr:rowOff>
    </xdr:from>
    <xdr:to>
      <xdr:col>5</xdr:col>
      <xdr:colOff>2536825</xdr:colOff>
      <xdr:row>374</xdr:row>
      <xdr:rowOff>336550</xdr:rowOff>
    </xdr:to>
    <xdr:pic>
      <xdr:nvPicPr>
        <xdr:cNvPr id="372" name="$F$375" descr="=JCSYSStructure(&quot;ECF07D284077EAF8C95B5C5912E592F2&quot;)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5537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375</xdr:row>
      <xdr:rowOff>25400</xdr:rowOff>
    </xdr:from>
    <xdr:to>
      <xdr:col>5</xdr:col>
      <xdr:colOff>2536825</xdr:colOff>
      <xdr:row>375</xdr:row>
      <xdr:rowOff>336550</xdr:rowOff>
    </xdr:to>
    <xdr:pic>
      <xdr:nvPicPr>
        <xdr:cNvPr id="373" name="$F$376" descr="=JCSYSStructure(&quot;B3118C8A3F025AE5FE429BBFC287238C&quot;)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5899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376</xdr:row>
      <xdr:rowOff>25400</xdr:rowOff>
    </xdr:from>
    <xdr:to>
      <xdr:col>5</xdr:col>
      <xdr:colOff>2536825</xdr:colOff>
      <xdr:row>376</xdr:row>
      <xdr:rowOff>336550</xdr:rowOff>
    </xdr:to>
    <xdr:pic>
      <xdr:nvPicPr>
        <xdr:cNvPr id="374" name="$F$377" descr="=JCSYSStructure(&quot;C57E752822D0E34C2F493B7FDF44BB24&quot;)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6261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377</xdr:row>
      <xdr:rowOff>25400</xdr:rowOff>
    </xdr:from>
    <xdr:to>
      <xdr:col>5</xdr:col>
      <xdr:colOff>2536825</xdr:colOff>
      <xdr:row>377</xdr:row>
      <xdr:rowOff>336550</xdr:rowOff>
    </xdr:to>
    <xdr:pic>
      <xdr:nvPicPr>
        <xdr:cNvPr id="375" name="$F$378" descr="=JCSYSStructure(&quot;49F60246DC277A01925FE78C0BFE8106&quot;)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6623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378</xdr:row>
      <xdr:rowOff>25400</xdr:rowOff>
    </xdr:from>
    <xdr:to>
      <xdr:col>5</xdr:col>
      <xdr:colOff>2536825</xdr:colOff>
      <xdr:row>378</xdr:row>
      <xdr:rowOff>336550</xdr:rowOff>
    </xdr:to>
    <xdr:pic>
      <xdr:nvPicPr>
        <xdr:cNvPr id="376" name="$F$379" descr="=JCSYSStructure(&quot;DDCC36729A6EB3C967922C8C548F8138&quot;)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6985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379</xdr:row>
      <xdr:rowOff>25400</xdr:rowOff>
    </xdr:from>
    <xdr:to>
      <xdr:col>5</xdr:col>
      <xdr:colOff>2536825</xdr:colOff>
      <xdr:row>379</xdr:row>
      <xdr:rowOff>336550</xdr:rowOff>
    </xdr:to>
    <xdr:pic>
      <xdr:nvPicPr>
        <xdr:cNvPr id="377" name="$F$380" descr="=JCSYSStructure(&quot;8272A6AC8540C4DE716523DE23CF1AAB&quot;)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7347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380</xdr:row>
      <xdr:rowOff>25400</xdr:rowOff>
    </xdr:from>
    <xdr:to>
      <xdr:col>5</xdr:col>
      <xdr:colOff>2536825</xdr:colOff>
      <xdr:row>380</xdr:row>
      <xdr:rowOff>336550</xdr:rowOff>
    </xdr:to>
    <xdr:pic>
      <xdr:nvPicPr>
        <xdr:cNvPr id="378" name="$F$381" descr="=JCSYSStructure(&quot;49C9CBE183937AB817C58F089C4292F1&quot;)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7709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381</xdr:row>
      <xdr:rowOff>25400</xdr:rowOff>
    </xdr:from>
    <xdr:to>
      <xdr:col>5</xdr:col>
      <xdr:colOff>2536825</xdr:colOff>
      <xdr:row>381</xdr:row>
      <xdr:rowOff>336550</xdr:rowOff>
    </xdr:to>
    <xdr:pic>
      <xdr:nvPicPr>
        <xdr:cNvPr id="379" name="$F$382" descr="=JCSYSStructure(&quot;C5ED1FEE5ECDB531C3A373A9EF140A77&quot;)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80712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382</xdr:row>
      <xdr:rowOff>25400</xdr:rowOff>
    </xdr:from>
    <xdr:to>
      <xdr:col>5</xdr:col>
      <xdr:colOff>2536825</xdr:colOff>
      <xdr:row>382</xdr:row>
      <xdr:rowOff>336550</xdr:rowOff>
    </xdr:to>
    <xdr:pic>
      <xdr:nvPicPr>
        <xdr:cNvPr id="380" name="$F$383" descr="=JCSYSStructure(&quot;C547D2A1BA8B6C317CFAC8D039EE3EAD&quot;)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84331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383</xdr:row>
      <xdr:rowOff>25400</xdr:rowOff>
    </xdr:from>
    <xdr:to>
      <xdr:col>5</xdr:col>
      <xdr:colOff>2536825</xdr:colOff>
      <xdr:row>383</xdr:row>
      <xdr:rowOff>336550</xdr:rowOff>
    </xdr:to>
    <xdr:pic>
      <xdr:nvPicPr>
        <xdr:cNvPr id="381" name="$F$384" descr="=JCSYSStructure(&quot;83578530A72D044D00EE58E3D3456AE8&quot;)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87951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384</xdr:row>
      <xdr:rowOff>25400</xdr:rowOff>
    </xdr:from>
    <xdr:to>
      <xdr:col>5</xdr:col>
      <xdr:colOff>2536825</xdr:colOff>
      <xdr:row>384</xdr:row>
      <xdr:rowOff>336550</xdr:rowOff>
    </xdr:to>
    <xdr:pic>
      <xdr:nvPicPr>
        <xdr:cNvPr id="382" name="$F$385" descr="=JCSYSStructure(&quot;7ED37FF230678483813E180100503875&quot;)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91570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385</xdr:row>
      <xdr:rowOff>25400</xdr:rowOff>
    </xdr:from>
    <xdr:to>
      <xdr:col>5</xdr:col>
      <xdr:colOff>2536825</xdr:colOff>
      <xdr:row>385</xdr:row>
      <xdr:rowOff>336550</xdr:rowOff>
    </xdr:to>
    <xdr:pic>
      <xdr:nvPicPr>
        <xdr:cNvPr id="383" name="$F$386" descr="=JCSYSStructure(&quot;4122A5D04E16627108529B4F74A679CC&quot;)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95190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386</xdr:row>
      <xdr:rowOff>25400</xdr:rowOff>
    </xdr:from>
    <xdr:to>
      <xdr:col>5</xdr:col>
      <xdr:colOff>2536825</xdr:colOff>
      <xdr:row>386</xdr:row>
      <xdr:rowOff>336550</xdr:rowOff>
    </xdr:to>
    <xdr:pic>
      <xdr:nvPicPr>
        <xdr:cNvPr id="384" name="$F$387" descr="=JCSYSStructure(&quot;71B00C4315D653402C5FE90A6AF84A52&quot;)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398809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387</xdr:row>
      <xdr:rowOff>25400</xdr:rowOff>
    </xdr:from>
    <xdr:to>
      <xdr:col>5</xdr:col>
      <xdr:colOff>2536825</xdr:colOff>
      <xdr:row>387</xdr:row>
      <xdr:rowOff>336550</xdr:rowOff>
    </xdr:to>
    <xdr:pic>
      <xdr:nvPicPr>
        <xdr:cNvPr id="385" name="$F$388" descr="=JCSYSStructure(&quot;ECAB7F05A2550366AC230FBDD4564103&quot;)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02429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388</xdr:row>
      <xdr:rowOff>25400</xdr:rowOff>
    </xdr:from>
    <xdr:to>
      <xdr:col>5</xdr:col>
      <xdr:colOff>2536825</xdr:colOff>
      <xdr:row>388</xdr:row>
      <xdr:rowOff>336550</xdr:rowOff>
    </xdr:to>
    <xdr:pic>
      <xdr:nvPicPr>
        <xdr:cNvPr id="386" name="$F$389" descr="=JCSYSStructure(&quot;D77E063C0F4D6589E2A7107E78BFA8FD&quot;)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06048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389</xdr:row>
      <xdr:rowOff>25400</xdr:rowOff>
    </xdr:from>
    <xdr:to>
      <xdr:col>5</xdr:col>
      <xdr:colOff>2536825</xdr:colOff>
      <xdr:row>389</xdr:row>
      <xdr:rowOff>336550</xdr:rowOff>
    </xdr:to>
    <xdr:pic>
      <xdr:nvPicPr>
        <xdr:cNvPr id="387" name="$F$390" descr="=JCSYSStructure(&quot;57DFE31BD098C3B6E2EE7F8A3AF51F12&quot;)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09668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390</xdr:row>
      <xdr:rowOff>25400</xdr:rowOff>
    </xdr:from>
    <xdr:to>
      <xdr:col>5</xdr:col>
      <xdr:colOff>2536825</xdr:colOff>
      <xdr:row>390</xdr:row>
      <xdr:rowOff>336550</xdr:rowOff>
    </xdr:to>
    <xdr:pic>
      <xdr:nvPicPr>
        <xdr:cNvPr id="388" name="$F$391" descr="=JCSYSStructure(&quot;EE17715A9BA3A9E48BFF2C298CA2A6C9&quot;)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13287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391</xdr:row>
      <xdr:rowOff>25400</xdr:rowOff>
    </xdr:from>
    <xdr:to>
      <xdr:col>5</xdr:col>
      <xdr:colOff>2536825</xdr:colOff>
      <xdr:row>391</xdr:row>
      <xdr:rowOff>336550</xdr:rowOff>
    </xdr:to>
    <xdr:pic>
      <xdr:nvPicPr>
        <xdr:cNvPr id="389" name="$F$392" descr="=JCSYSStructure(&quot;ABEE15121C926B7A8FB9C58955B9E338&quot;)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16907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392</xdr:row>
      <xdr:rowOff>25400</xdr:rowOff>
    </xdr:from>
    <xdr:to>
      <xdr:col>5</xdr:col>
      <xdr:colOff>2536825</xdr:colOff>
      <xdr:row>392</xdr:row>
      <xdr:rowOff>336550</xdr:rowOff>
    </xdr:to>
    <xdr:pic>
      <xdr:nvPicPr>
        <xdr:cNvPr id="390" name="$F$393" descr="=JCSYSStructure(&quot;EF0C7DAE321837DC17E6A62EED3E7E5F&quot;)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20526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393</xdr:row>
      <xdr:rowOff>25400</xdr:rowOff>
    </xdr:from>
    <xdr:to>
      <xdr:col>5</xdr:col>
      <xdr:colOff>2536825</xdr:colOff>
      <xdr:row>393</xdr:row>
      <xdr:rowOff>336550</xdr:rowOff>
    </xdr:to>
    <xdr:pic>
      <xdr:nvPicPr>
        <xdr:cNvPr id="391" name="$F$394" descr="=JCSYSStructure(&quot;1BAB08DC3C641F2F17FF20D812DFECD0&quot;)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24146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394</xdr:row>
      <xdr:rowOff>25400</xdr:rowOff>
    </xdr:from>
    <xdr:to>
      <xdr:col>5</xdr:col>
      <xdr:colOff>2536825</xdr:colOff>
      <xdr:row>394</xdr:row>
      <xdr:rowOff>336550</xdr:rowOff>
    </xdr:to>
    <xdr:pic>
      <xdr:nvPicPr>
        <xdr:cNvPr id="392" name="$F$395" descr="=JCSYSStructure(&quot;9DDABB7C7CB02412DC0E86C0792A0D9A&quot;)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27765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395</xdr:row>
      <xdr:rowOff>25400</xdr:rowOff>
    </xdr:from>
    <xdr:to>
      <xdr:col>5</xdr:col>
      <xdr:colOff>2536825</xdr:colOff>
      <xdr:row>395</xdr:row>
      <xdr:rowOff>336550</xdr:rowOff>
    </xdr:to>
    <xdr:pic>
      <xdr:nvPicPr>
        <xdr:cNvPr id="393" name="$F$396" descr="=JCSYSStructure(&quot;DE5641A55B02A42281AB6CE795B5DE8D&quot;)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31385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396</xdr:row>
      <xdr:rowOff>25400</xdr:rowOff>
    </xdr:from>
    <xdr:to>
      <xdr:col>5</xdr:col>
      <xdr:colOff>2536825</xdr:colOff>
      <xdr:row>396</xdr:row>
      <xdr:rowOff>336550</xdr:rowOff>
    </xdr:to>
    <xdr:pic>
      <xdr:nvPicPr>
        <xdr:cNvPr id="394" name="$F$397" descr="=JCSYSStructure(&quot;6A28240E0D3A9BF35FD0097C6FC34067&quot;)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35004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397</xdr:row>
      <xdr:rowOff>25400</xdr:rowOff>
    </xdr:from>
    <xdr:to>
      <xdr:col>5</xdr:col>
      <xdr:colOff>2536825</xdr:colOff>
      <xdr:row>397</xdr:row>
      <xdr:rowOff>336550</xdr:rowOff>
    </xdr:to>
    <xdr:pic>
      <xdr:nvPicPr>
        <xdr:cNvPr id="395" name="$F$398" descr="=JCSYSStructure(&quot;BF6FC74A5BDAAB1E10AEC283D8D97C9B&quot;)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38624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398</xdr:row>
      <xdr:rowOff>25400</xdr:rowOff>
    </xdr:from>
    <xdr:to>
      <xdr:col>5</xdr:col>
      <xdr:colOff>2536825</xdr:colOff>
      <xdr:row>398</xdr:row>
      <xdr:rowOff>336550</xdr:rowOff>
    </xdr:to>
    <xdr:pic>
      <xdr:nvPicPr>
        <xdr:cNvPr id="396" name="$F$399" descr="=JCSYSStructure(&quot;33A06D675981EFB97646E2377A1B0B5D&quot;)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42243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399</xdr:row>
      <xdr:rowOff>25400</xdr:rowOff>
    </xdr:from>
    <xdr:to>
      <xdr:col>5</xdr:col>
      <xdr:colOff>2536825</xdr:colOff>
      <xdr:row>399</xdr:row>
      <xdr:rowOff>336550</xdr:rowOff>
    </xdr:to>
    <xdr:pic>
      <xdr:nvPicPr>
        <xdr:cNvPr id="397" name="$F$400" descr="=JCSYSStructure(&quot;7ACEFF5D487F5D1E4151F09C2489B823&quot;)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458632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400</xdr:row>
      <xdr:rowOff>25400</xdr:rowOff>
    </xdr:from>
    <xdr:to>
      <xdr:col>5</xdr:col>
      <xdr:colOff>2536825</xdr:colOff>
      <xdr:row>400</xdr:row>
      <xdr:rowOff>336550</xdr:rowOff>
    </xdr:to>
    <xdr:pic>
      <xdr:nvPicPr>
        <xdr:cNvPr id="398" name="$F$401" descr="=JCSYSStructure(&quot;6001D80A5F629C386322F88CF8FC84D5&quot;)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4948275"/>
          <a:ext cx="2511425" cy="3111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401</xdr:row>
      <xdr:rowOff>25400</xdr:rowOff>
    </xdr:from>
    <xdr:to>
      <xdr:col>5</xdr:col>
      <xdr:colOff>2536825</xdr:colOff>
      <xdr:row>401</xdr:row>
      <xdr:rowOff>336550</xdr:rowOff>
    </xdr:to>
    <xdr:pic>
      <xdr:nvPicPr>
        <xdr:cNvPr id="399" name="$F$402" descr="=JCSYSStructure(&quot;D1A972326F3C55A1F6DD7A24489C6C08&quot;)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145310225"/>
          <a:ext cx="2511425" cy="311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7</xdr:row>
      <xdr:rowOff>25400</xdr:rowOff>
    </xdr:from>
    <xdr:to>
      <xdr:col>0</xdr:col>
      <xdr:colOff>2281714</xdr:colOff>
      <xdr:row>7</xdr:row>
      <xdr:rowOff>1477010</xdr:rowOff>
    </xdr:to>
    <xdr:pic>
      <xdr:nvPicPr>
        <xdr:cNvPr id="2" name="SCHISTOSOMIASISPicture 1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6925"/>
          <a:ext cx="1637189" cy="165735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5</xdr:row>
      <xdr:rowOff>25400</xdr:rowOff>
    </xdr:from>
    <xdr:to>
      <xdr:col>0</xdr:col>
      <xdr:colOff>2064652</xdr:colOff>
      <xdr:row>5</xdr:row>
      <xdr:rowOff>1614170</xdr:rowOff>
    </xdr:to>
    <xdr:pic>
      <xdr:nvPicPr>
        <xdr:cNvPr id="3" name="SCHISTOSOMIASISPicture 2" hidden="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7425"/>
          <a:ext cx="1639202" cy="169545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6</xdr:row>
      <xdr:rowOff>25400</xdr:rowOff>
    </xdr:from>
    <xdr:to>
      <xdr:col>0</xdr:col>
      <xdr:colOff>2380525</xdr:colOff>
      <xdr:row>6</xdr:row>
      <xdr:rowOff>928370</xdr:rowOff>
    </xdr:to>
    <xdr:pic>
      <xdr:nvPicPr>
        <xdr:cNvPr id="4" name="SCHISTOSOMIASISPicture 3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1177925"/>
          <a:ext cx="1640749" cy="169545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10</xdr:row>
      <xdr:rowOff>25400</xdr:rowOff>
    </xdr:from>
    <xdr:to>
      <xdr:col>0</xdr:col>
      <xdr:colOff>2413096</xdr:colOff>
      <xdr:row>10</xdr:row>
      <xdr:rowOff>1397000</xdr:rowOff>
    </xdr:to>
    <xdr:pic>
      <xdr:nvPicPr>
        <xdr:cNvPr id="5" name="SCHISTOSOMIASISPicture 4" hidden="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1368425"/>
          <a:ext cx="1644745" cy="161925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8</xdr:row>
      <xdr:rowOff>25400</xdr:rowOff>
    </xdr:from>
    <xdr:to>
      <xdr:col>0</xdr:col>
      <xdr:colOff>2367398</xdr:colOff>
      <xdr:row>8</xdr:row>
      <xdr:rowOff>1397000</xdr:rowOff>
    </xdr:to>
    <xdr:pic>
      <xdr:nvPicPr>
        <xdr:cNvPr id="6" name="SCHISTOSOMIASISPicture 5" hidden="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1558925"/>
          <a:ext cx="1637147" cy="161925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4</xdr:row>
      <xdr:rowOff>25400</xdr:rowOff>
    </xdr:from>
    <xdr:to>
      <xdr:col>0</xdr:col>
      <xdr:colOff>1499146</xdr:colOff>
      <xdr:row>4</xdr:row>
      <xdr:rowOff>1282700</xdr:rowOff>
    </xdr:to>
    <xdr:pic>
      <xdr:nvPicPr>
        <xdr:cNvPr id="7" name="SCHISTOSOMIASISPicture 6" hidden="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1749425"/>
          <a:ext cx="1473745" cy="161925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4</xdr:row>
      <xdr:rowOff>25401</xdr:rowOff>
    </xdr:from>
    <xdr:to>
      <xdr:col>0</xdr:col>
      <xdr:colOff>1876150</xdr:colOff>
      <xdr:row>4</xdr:row>
      <xdr:rowOff>1174116</xdr:rowOff>
    </xdr:to>
    <xdr:pic>
      <xdr:nvPicPr>
        <xdr:cNvPr id="8" name="SCHISTOSOMIASISPicture 7" hidden="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1939926"/>
          <a:ext cx="1641199" cy="167640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2</xdr:row>
      <xdr:rowOff>25401</xdr:rowOff>
    </xdr:from>
    <xdr:to>
      <xdr:col>0</xdr:col>
      <xdr:colOff>1630526</xdr:colOff>
      <xdr:row>2</xdr:row>
      <xdr:rowOff>1231266</xdr:rowOff>
    </xdr:to>
    <xdr:pic>
      <xdr:nvPicPr>
        <xdr:cNvPr id="9" name="SCHISTOSOMIASISPicture 8" hidden="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2130426"/>
          <a:ext cx="1605125" cy="167640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1</xdr:row>
      <xdr:rowOff>25401</xdr:rowOff>
    </xdr:from>
    <xdr:to>
      <xdr:col>0</xdr:col>
      <xdr:colOff>2173183</xdr:colOff>
      <xdr:row>1</xdr:row>
      <xdr:rowOff>888366</xdr:rowOff>
    </xdr:to>
    <xdr:pic>
      <xdr:nvPicPr>
        <xdr:cNvPr id="10" name="SCHISTOSOMIASISPicture 9" hidden="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20926"/>
          <a:ext cx="1642958" cy="167640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2</xdr:row>
      <xdr:rowOff>25400</xdr:rowOff>
    </xdr:from>
    <xdr:to>
      <xdr:col>0</xdr:col>
      <xdr:colOff>2293140</xdr:colOff>
      <xdr:row>2</xdr:row>
      <xdr:rowOff>1637030</xdr:rowOff>
    </xdr:to>
    <xdr:pic>
      <xdr:nvPicPr>
        <xdr:cNvPr id="11" name="SCHISTOSOMIASISPicture 10" hidden="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2511425"/>
          <a:ext cx="1639089" cy="163830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8</xdr:row>
      <xdr:rowOff>25401</xdr:rowOff>
    </xdr:from>
    <xdr:to>
      <xdr:col>0</xdr:col>
      <xdr:colOff>2470218</xdr:colOff>
      <xdr:row>8</xdr:row>
      <xdr:rowOff>1116966</xdr:rowOff>
    </xdr:to>
    <xdr:pic>
      <xdr:nvPicPr>
        <xdr:cNvPr id="12" name="SCHISTOSOMIASISPicture 11" hidden="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2701926"/>
          <a:ext cx="1644717" cy="167640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9</xdr:row>
      <xdr:rowOff>25400</xdr:rowOff>
    </xdr:from>
    <xdr:to>
      <xdr:col>0</xdr:col>
      <xdr:colOff>1636238</xdr:colOff>
      <xdr:row>9</xdr:row>
      <xdr:rowOff>1408430</xdr:rowOff>
    </xdr:to>
    <xdr:pic>
      <xdr:nvPicPr>
        <xdr:cNvPr id="13" name="SCHISTOSOMIASISPicture 12" hidden="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2892425"/>
          <a:ext cx="1610837" cy="163830"/>
        </a:xfrm>
        <a:prstGeom prst="rect">
          <a:avLst/>
        </a:prstGeom>
      </xdr:spPr>
    </xdr:pic>
    <xdr:clientData/>
  </xdr:twoCellAnchor>
  <xdr:twoCellAnchor>
    <xdr:from>
      <xdr:col>0</xdr:col>
      <xdr:colOff>25401</xdr:colOff>
      <xdr:row>14</xdr:row>
      <xdr:rowOff>25400</xdr:rowOff>
    </xdr:from>
    <xdr:to>
      <xdr:col>0</xdr:col>
      <xdr:colOff>2658720</xdr:colOff>
      <xdr:row>14</xdr:row>
      <xdr:rowOff>1339850</xdr:rowOff>
    </xdr:to>
    <xdr:pic>
      <xdr:nvPicPr>
        <xdr:cNvPr id="14" name="SCHISTOSOMIASISPicture 13" hidden="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1" y="3082925"/>
          <a:ext cx="1642719" cy="161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athogenbox.org/Users/benoit/AppData/Local/Microsoft/Windows/Temporary%20Internet%20Files/Content.Outlook/GTTFDC07/2015-047%20Report%20LMPH%20SC%20MM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ay Header"/>
      <sheetName val="Assay Info"/>
      <sheetName val="hidden_template_info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01"/>
  <sheetViews>
    <sheetView workbookViewId="0"/>
  </sheetViews>
  <sheetFormatPr defaultColWidth="8.54296875" defaultRowHeight="14.5" x14ac:dyDescent="0.35"/>
  <sheetData>
    <row r="1" spans="1:4" x14ac:dyDescent="0.35">
      <c r="A1" t="s">
        <v>999</v>
      </c>
      <c r="B1" t="s">
        <v>1000</v>
      </c>
      <c r="C1" t="s">
        <v>1001</v>
      </c>
      <c r="D1" t="s">
        <v>1002</v>
      </c>
    </row>
    <row r="2" spans="1:4" x14ac:dyDescent="0.35">
      <c r="A2" t="s">
        <v>1003</v>
      </c>
      <c r="B2">
        <v>1</v>
      </c>
      <c r="C2" t="s">
        <v>1004</v>
      </c>
      <c r="D2" t="s">
        <v>1005</v>
      </c>
    </row>
    <row r="3" spans="1:4" x14ac:dyDescent="0.35">
      <c r="A3" t="s">
        <v>1006</v>
      </c>
      <c r="B3">
        <v>1</v>
      </c>
      <c r="C3" t="s">
        <v>1004</v>
      </c>
      <c r="D3" t="s">
        <v>1007</v>
      </c>
    </row>
    <row r="4" spans="1:4" x14ac:dyDescent="0.35">
      <c r="A4" t="s">
        <v>1008</v>
      </c>
      <c r="B4">
        <v>1</v>
      </c>
      <c r="C4" t="s">
        <v>1004</v>
      </c>
      <c r="D4" t="s">
        <v>1009</v>
      </c>
    </row>
    <row r="5" spans="1:4" x14ac:dyDescent="0.35">
      <c r="A5" t="s">
        <v>1010</v>
      </c>
      <c r="B5">
        <v>1</v>
      </c>
      <c r="C5" t="s">
        <v>1004</v>
      </c>
      <c r="D5" t="s">
        <v>1011</v>
      </c>
    </row>
    <row r="6" spans="1:4" x14ac:dyDescent="0.35">
      <c r="A6" t="s">
        <v>1012</v>
      </c>
      <c r="B6">
        <v>1</v>
      </c>
      <c r="C6" t="s">
        <v>1004</v>
      </c>
      <c r="D6" t="s">
        <v>1013</v>
      </c>
    </row>
    <row r="7" spans="1:4" x14ac:dyDescent="0.35">
      <c r="A7" t="s">
        <v>1014</v>
      </c>
      <c r="B7">
        <v>1</v>
      </c>
      <c r="C7" t="s">
        <v>1004</v>
      </c>
      <c r="D7" t="s">
        <v>1015</v>
      </c>
    </row>
    <row r="8" spans="1:4" x14ac:dyDescent="0.35">
      <c r="A8" t="s">
        <v>1016</v>
      </c>
      <c r="B8">
        <v>1</v>
      </c>
      <c r="C8" t="s">
        <v>1004</v>
      </c>
      <c r="D8" t="s">
        <v>1017</v>
      </c>
    </row>
    <row r="9" spans="1:4" x14ac:dyDescent="0.35">
      <c r="A9" t="s">
        <v>1018</v>
      </c>
      <c r="B9">
        <v>1</v>
      </c>
      <c r="C9" t="s">
        <v>1004</v>
      </c>
      <c r="D9" t="s">
        <v>1019</v>
      </c>
    </row>
    <row r="10" spans="1:4" x14ac:dyDescent="0.35">
      <c r="A10" t="s">
        <v>1020</v>
      </c>
      <c r="B10">
        <v>1</v>
      </c>
      <c r="C10" t="s">
        <v>1004</v>
      </c>
      <c r="D10" t="s">
        <v>1021</v>
      </c>
    </row>
    <row r="11" spans="1:4" x14ac:dyDescent="0.35">
      <c r="A11" t="s">
        <v>1022</v>
      </c>
      <c r="B11">
        <v>1</v>
      </c>
      <c r="C11" t="s">
        <v>1004</v>
      </c>
      <c r="D11" t="s">
        <v>1023</v>
      </c>
    </row>
    <row r="12" spans="1:4" x14ac:dyDescent="0.35">
      <c r="A12" t="s">
        <v>1024</v>
      </c>
      <c r="B12">
        <v>1</v>
      </c>
      <c r="C12" t="s">
        <v>1004</v>
      </c>
      <c r="D12" t="s">
        <v>1025</v>
      </c>
    </row>
    <row r="13" spans="1:4" x14ac:dyDescent="0.35">
      <c r="A13" t="s">
        <v>1026</v>
      </c>
      <c r="B13">
        <v>1</v>
      </c>
      <c r="C13" t="s">
        <v>1004</v>
      </c>
      <c r="D13" t="s">
        <v>1027</v>
      </c>
    </row>
    <row r="14" spans="1:4" x14ac:dyDescent="0.35">
      <c r="A14" t="s">
        <v>1028</v>
      </c>
      <c r="B14">
        <v>1</v>
      </c>
      <c r="C14" t="s">
        <v>1004</v>
      </c>
      <c r="D14" t="s">
        <v>1029</v>
      </c>
    </row>
    <row r="15" spans="1:4" x14ac:dyDescent="0.35">
      <c r="A15" t="s">
        <v>1030</v>
      </c>
      <c r="B15">
        <v>1</v>
      </c>
      <c r="C15" t="s">
        <v>1004</v>
      </c>
      <c r="D15" t="s">
        <v>1031</v>
      </c>
    </row>
    <row r="16" spans="1:4" x14ac:dyDescent="0.35">
      <c r="A16" t="s">
        <v>1032</v>
      </c>
      <c r="B16">
        <v>1</v>
      </c>
      <c r="C16" t="s">
        <v>1004</v>
      </c>
      <c r="D16" t="s">
        <v>1033</v>
      </c>
    </row>
    <row r="17" spans="1:4" x14ac:dyDescent="0.35">
      <c r="A17" t="s">
        <v>1034</v>
      </c>
      <c r="B17">
        <v>1</v>
      </c>
      <c r="C17" t="s">
        <v>1004</v>
      </c>
      <c r="D17" t="s">
        <v>1035</v>
      </c>
    </row>
    <row r="18" spans="1:4" x14ac:dyDescent="0.35">
      <c r="A18" t="s">
        <v>1036</v>
      </c>
      <c r="B18">
        <v>1</v>
      </c>
      <c r="C18" t="s">
        <v>1004</v>
      </c>
      <c r="D18" t="s">
        <v>1037</v>
      </c>
    </row>
    <row r="19" spans="1:4" x14ac:dyDescent="0.35">
      <c r="A19" t="s">
        <v>1038</v>
      </c>
      <c r="B19">
        <v>1</v>
      </c>
      <c r="C19" t="s">
        <v>1004</v>
      </c>
      <c r="D19" t="s">
        <v>1039</v>
      </c>
    </row>
    <row r="20" spans="1:4" x14ac:dyDescent="0.35">
      <c r="A20" t="s">
        <v>1040</v>
      </c>
      <c r="B20">
        <v>1</v>
      </c>
      <c r="C20" t="s">
        <v>1004</v>
      </c>
      <c r="D20" t="s">
        <v>1041</v>
      </c>
    </row>
    <row r="21" spans="1:4" x14ac:dyDescent="0.35">
      <c r="A21" t="s">
        <v>1042</v>
      </c>
      <c r="B21">
        <v>1</v>
      </c>
      <c r="C21" t="s">
        <v>1004</v>
      </c>
      <c r="D21" t="s">
        <v>1043</v>
      </c>
    </row>
    <row r="22" spans="1:4" x14ac:dyDescent="0.35">
      <c r="A22" t="s">
        <v>1044</v>
      </c>
      <c r="B22">
        <v>1</v>
      </c>
      <c r="C22" t="s">
        <v>1004</v>
      </c>
      <c r="D22" t="s">
        <v>1045</v>
      </c>
    </row>
    <row r="23" spans="1:4" x14ac:dyDescent="0.35">
      <c r="A23" t="s">
        <v>1046</v>
      </c>
      <c r="B23">
        <v>1</v>
      </c>
      <c r="C23" t="s">
        <v>1004</v>
      </c>
      <c r="D23" t="s">
        <v>1047</v>
      </c>
    </row>
    <row r="24" spans="1:4" x14ac:dyDescent="0.35">
      <c r="A24" t="s">
        <v>1048</v>
      </c>
      <c r="B24">
        <v>1</v>
      </c>
      <c r="C24" t="s">
        <v>1004</v>
      </c>
      <c r="D24" t="s">
        <v>1049</v>
      </c>
    </row>
    <row r="25" spans="1:4" x14ac:dyDescent="0.35">
      <c r="A25" t="s">
        <v>1050</v>
      </c>
      <c r="B25">
        <v>1</v>
      </c>
      <c r="C25" t="s">
        <v>1004</v>
      </c>
      <c r="D25" t="s">
        <v>1051</v>
      </c>
    </row>
    <row r="26" spans="1:4" x14ac:dyDescent="0.35">
      <c r="A26" t="s">
        <v>1052</v>
      </c>
      <c r="B26">
        <v>1</v>
      </c>
      <c r="C26" t="s">
        <v>1004</v>
      </c>
      <c r="D26" t="s">
        <v>1053</v>
      </c>
    </row>
    <row r="27" spans="1:4" x14ac:dyDescent="0.35">
      <c r="A27" t="s">
        <v>1054</v>
      </c>
      <c r="B27">
        <v>1</v>
      </c>
      <c r="C27" t="s">
        <v>1004</v>
      </c>
      <c r="D27" t="s">
        <v>1055</v>
      </c>
    </row>
    <row r="28" spans="1:4" x14ac:dyDescent="0.35">
      <c r="A28" t="s">
        <v>1056</v>
      </c>
      <c r="B28">
        <v>1</v>
      </c>
      <c r="C28" t="s">
        <v>1004</v>
      </c>
      <c r="D28" t="s">
        <v>1057</v>
      </c>
    </row>
    <row r="29" spans="1:4" x14ac:dyDescent="0.35">
      <c r="A29" t="s">
        <v>1058</v>
      </c>
      <c r="B29">
        <v>1</v>
      </c>
      <c r="C29" t="s">
        <v>1004</v>
      </c>
      <c r="D29" t="s">
        <v>1059</v>
      </c>
    </row>
    <row r="30" spans="1:4" x14ac:dyDescent="0.35">
      <c r="A30" t="s">
        <v>1060</v>
      </c>
      <c r="B30">
        <v>1</v>
      </c>
      <c r="C30" t="s">
        <v>1004</v>
      </c>
      <c r="D30" t="s">
        <v>1061</v>
      </c>
    </row>
    <row r="31" spans="1:4" x14ac:dyDescent="0.35">
      <c r="A31" t="s">
        <v>1062</v>
      </c>
      <c r="B31">
        <v>1</v>
      </c>
      <c r="C31" t="s">
        <v>1004</v>
      </c>
      <c r="D31" t="s">
        <v>1063</v>
      </c>
    </row>
    <row r="32" spans="1:4" x14ac:dyDescent="0.35">
      <c r="A32" t="s">
        <v>1064</v>
      </c>
      <c r="B32">
        <v>1</v>
      </c>
      <c r="C32" t="s">
        <v>1004</v>
      </c>
      <c r="D32" t="s">
        <v>1065</v>
      </c>
    </row>
    <row r="33" spans="1:4" x14ac:dyDescent="0.35">
      <c r="A33" t="s">
        <v>1066</v>
      </c>
      <c r="B33">
        <v>1</v>
      </c>
      <c r="C33" t="s">
        <v>1004</v>
      </c>
      <c r="D33" t="s">
        <v>1067</v>
      </c>
    </row>
    <row r="34" spans="1:4" x14ac:dyDescent="0.35">
      <c r="A34" s="70" t="s">
        <v>1068</v>
      </c>
      <c r="B34">
        <v>1</v>
      </c>
      <c r="C34" t="s">
        <v>1004</v>
      </c>
      <c r="D34" t="s">
        <v>1069</v>
      </c>
    </row>
    <row r="35" spans="1:4" x14ac:dyDescent="0.35">
      <c r="A35" t="s">
        <v>1070</v>
      </c>
      <c r="B35">
        <v>1</v>
      </c>
      <c r="C35" t="s">
        <v>1004</v>
      </c>
      <c r="D35" t="s">
        <v>1071</v>
      </c>
    </row>
    <row r="36" spans="1:4" x14ac:dyDescent="0.35">
      <c r="A36" t="s">
        <v>1072</v>
      </c>
      <c r="B36">
        <v>1</v>
      </c>
      <c r="C36" t="s">
        <v>1004</v>
      </c>
      <c r="D36" t="s">
        <v>1073</v>
      </c>
    </row>
    <row r="37" spans="1:4" x14ac:dyDescent="0.35">
      <c r="A37" t="s">
        <v>1074</v>
      </c>
      <c r="B37">
        <v>1</v>
      </c>
      <c r="C37" t="s">
        <v>1004</v>
      </c>
      <c r="D37" t="s">
        <v>1075</v>
      </c>
    </row>
    <row r="38" spans="1:4" x14ac:dyDescent="0.35">
      <c r="A38" t="s">
        <v>1076</v>
      </c>
      <c r="B38">
        <v>1</v>
      </c>
      <c r="C38" t="s">
        <v>1004</v>
      </c>
      <c r="D38" t="s">
        <v>1077</v>
      </c>
    </row>
    <row r="39" spans="1:4" x14ac:dyDescent="0.35">
      <c r="A39" t="s">
        <v>1078</v>
      </c>
      <c r="B39">
        <v>1</v>
      </c>
      <c r="C39" t="s">
        <v>1004</v>
      </c>
      <c r="D39" t="s">
        <v>1079</v>
      </c>
    </row>
    <row r="40" spans="1:4" x14ac:dyDescent="0.35">
      <c r="A40" t="s">
        <v>1080</v>
      </c>
      <c r="B40">
        <v>1</v>
      </c>
      <c r="C40" t="s">
        <v>1004</v>
      </c>
      <c r="D40" t="s">
        <v>1081</v>
      </c>
    </row>
    <row r="41" spans="1:4" x14ac:dyDescent="0.35">
      <c r="A41" t="s">
        <v>1082</v>
      </c>
      <c r="B41">
        <v>1</v>
      </c>
      <c r="C41" t="s">
        <v>1004</v>
      </c>
      <c r="D41" t="s">
        <v>1083</v>
      </c>
    </row>
    <row r="42" spans="1:4" x14ac:dyDescent="0.35">
      <c r="A42" t="s">
        <v>1084</v>
      </c>
      <c r="B42">
        <v>1</v>
      </c>
      <c r="C42" t="s">
        <v>1004</v>
      </c>
      <c r="D42" t="s">
        <v>1085</v>
      </c>
    </row>
    <row r="43" spans="1:4" x14ac:dyDescent="0.35">
      <c r="A43" t="s">
        <v>1086</v>
      </c>
      <c r="B43">
        <v>1</v>
      </c>
      <c r="C43" t="s">
        <v>1004</v>
      </c>
      <c r="D43" t="s">
        <v>1087</v>
      </c>
    </row>
    <row r="44" spans="1:4" x14ac:dyDescent="0.35">
      <c r="A44" t="s">
        <v>1088</v>
      </c>
      <c r="B44">
        <v>1</v>
      </c>
      <c r="C44" t="s">
        <v>1004</v>
      </c>
      <c r="D44" t="s">
        <v>1089</v>
      </c>
    </row>
    <row r="45" spans="1:4" x14ac:dyDescent="0.35">
      <c r="A45" t="s">
        <v>1090</v>
      </c>
      <c r="B45">
        <v>1</v>
      </c>
      <c r="C45" t="s">
        <v>1004</v>
      </c>
      <c r="D45" t="s">
        <v>1091</v>
      </c>
    </row>
    <row r="46" spans="1:4" x14ac:dyDescent="0.35">
      <c r="A46" t="s">
        <v>1092</v>
      </c>
      <c r="B46">
        <v>1</v>
      </c>
      <c r="C46" t="s">
        <v>1004</v>
      </c>
      <c r="D46" t="s">
        <v>1093</v>
      </c>
    </row>
    <row r="47" spans="1:4" x14ac:dyDescent="0.35">
      <c r="A47" s="70" t="s">
        <v>1094</v>
      </c>
      <c r="B47">
        <v>1</v>
      </c>
      <c r="C47" t="s">
        <v>1004</v>
      </c>
      <c r="D47" t="s">
        <v>1095</v>
      </c>
    </row>
    <row r="48" spans="1:4" x14ac:dyDescent="0.35">
      <c r="A48" t="s">
        <v>1096</v>
      </c>
      <c r="B48">
        <v>1</v>
      </c>
      <c r="C48" t="s">
        <v>1004</v>
      </c>
      <c r="D48" t="s">
        <v>1097</v>
      </c>
    </row>
    <row r="49" spans="1:4" x14ac:dyDescent="0.35">
      <c r="A49" t="s">
        <v>1098</v>
      </c>
      <c r="B49">
        <v>1</v>
      </c>
      <c r="C49" t="s">
        <v>1004</v>
      </c>
      <c r="D49" t="s">
        <v>1099</v>
      </c>
    </row>
    <row r="50" spans="1:4" x14ac:dyDescent="0.35">
      <c r="A50" t="s">
        <v>1100</v>
      </c>
      <c r="B50">
        <v>1</v>
      </c>
      <c r="C50" t="s">
        <v>1004</v>
      </c>
      <c r="D50" t="s">
        <v>1101</v>
      </c>
    </row>
    <row r="51" spans="1:4" x14ac:dyDescent="0.35">
      <c r="A51" t="s">
        <v>1102</v>
      </c>
      <c r="B51">
        <v>1</v>
      </c>
      <c r="C51" t="s">
        <v>1004</v>
      </c>
      <c r="D51" t="s">
        <v>1103</v>
      </c>
    </row>
    <row r="52" spans="1:4" x14ac:dyDescent="0.35">
      <c r="A52" t="s">
        <v>1104</v>
      </c>
      <c r="B52">
        <v>1</v>
      </c>
      <c r="C52" t="s">
        <v>1004</v>
      </c>
      <c r="D52" t="s">
        <v>1105</v>
      </c>
    </row>
    <row r="53" spans="1:4" x14ac:dyDescent="0.35">
      <c r="A53" t="s">
        <v>1106</v>
      </c>
      <c r="B53">
        <v>1</v>
      </c>
      <c r="C53" t="s">
        <v>1004</v>
      </c>
      <c r="D53" t="s">
        <v>1107</v>
      </c>
    </row>
    <row r="54" spans="1:4" x14ac:dyDescent="0.35">
      <c r="A54" t="s">
        <v>1108</v>
      </c>
      <c r="B54">
        <v>1</v>
      </c>
      <c r="C54" t="s">
        <v>1004</v>
      </c>
      <c r="D54" t="s">
        <v>1109</v>
      </c>
    </row>
    <row r="55" spans="1:4" x14ac:dyDescent="0.35">
      <c r="A55" t="s">
        <v>1110</v>
      </c>
      <c r="B55">
        <v>1</v>
      </c>
      <c r="C55" t="s">
        <v>1004</v>
      </c>
      <c r="D55" t="s">
        <v>1111</v>
      </c>
    </row>
    <row r="56" spans="1:4" x14ac:dyDescent="0.35">
      <c r="A56" t="s">
        <v>1112</v>
      </c>
      <c r="B56">
        <v>1</v>
      </c>
      <c r="C56" t="s">
        <v>1004</v>
      </c>
      <c r="D56" t="s">
        <v>1113</v>
      </c>
    </row>
    <row r="57" spans="1:4" x14ac:dyDescent="0.35">
      <c r="A57" t="s">
        <v>1114</v>
      </c>
      <c r="B57">
        <v>1</v>
      </c>
      <c r="C57" t="s">
        <v>1004</v>
      </c>
      <c r="D57" t="s">
        <v>1115</v>
      </c>
    </row>
    <row r="58" spans="1:4" x14ac:dyDescent="0.35">
      <c r="A58" t="s">
        <v>1116</v>
      </c>
      <c r="B58">
        <v>1</v>
      </c>
      <c r="C58" t="s">
        <v>1004</v>
      </c>
      <c r="D58" t="s">
        <v>1117</v>
      </c>
    </row>
    <row r="59" spans="1:4" x14ac:dyDescent="0.35">
      <c r="A59" t="s">
        <v>1118</v>
      </c>
      <c r="B59">
        <v>1</v>
      </c>
      <c r="C59" t="s">
        <v>1004</v>
      </c>
      <c r="D59" t="s">
        <v>1119</v>
      </c>
    </row>
    <row r="60" spans="1:4" x14ac:dyDescent="0.35">
      <c r="A60" t="s">
        <v>1120</v>
      </c>
      <c r="B60">
        <v>1</v>
      </c>
      <c r="C60" t="s">
        <v>1004</v>
      </c>
      <c r="D60" t="s">
        <v>1121</v>
      </c>
    </row>
    <row r="61" spans="1:4" x14ac:dyDescent="0.35">
      <c r="A61" t="s">
        <v>1122</v>
      </c>
      <c r="B61">
        <v>1</v>
      </c>
      <c r="C61" t="s">
        <v>1004</v>
      </c>
      <c r="D61" t="s">
        <v>1123</v>
      </c>
    </row>
    <row r="62" spans="1:4" x14ac:dyDescent="0.35">
      <c r="A62" t="s">
        <v>1124</v>
      </c>
      <c r="B62">
        <v>1</v>
      </c>
      <c r="C62" t="s">
        <v>1004</v>
      </c>
      <c r="D62" t="s">
        <v>1125</v>
      </c>
    </row>
    <row r="63" spans="1:4" x14ac:dyDescent="0.35">
      <c r="A63" t="s">
        <v>1126</v>
      </c>
      <c r="B63">
        <v>1</v>
      </c>
      <c r="C63" t="s">
        <v>1004</v>
      </c>
      <c r="D63" t="s">
        <v>1127</v>
      </c>
    </row>
    <row r="64" spans="1:4" x14ac:dyDescent="0.35">
      <c r="A64" t="s">
        <v>1128</v>
      </c>
      <c r="B64">
        <v>1</v>
      </c>
      <c r="C64" t="s">
        <v>1004</v>
      </c>
      <c r="D64" t="s">
        <v>1129</v>
      </c>
    </row>
    <row r="65" spans="1:4" x14ac:dyDescent="0.35">
      <c r="A65" t="s">
        <v>1130</v>
      </c>
      <c r="B65">
        <v>1</v>
      </c>
      <c r="C65" t="s">
        <v>1004</v>
      </c>
      <c r="D65" t="s">
        <v>1131</v>
      </c>
    </row>
    <row r="66" spans="1:4" x14ac:dyDescent="0.35">
      <c r="A66" t="s">
        <v>1132</v>
      </c>
      <c r="B66">
        <v>1</v>
      </c>
      <c r="C66" t="s">
        <v>1004</v>
      </c>
      <c r="D66" t="s">
        <v>1133</v>
      </c>
    </row>
    <row r="67" spans="1:4" x14ac:dyDescent="0.35">
      <c r="A67" t="s">
        <v>1134</v>
      </c>
      <c r="B67">
        <v>1</v>
      </c>
      <c r="C67" t="s">
        <v>1004</v>
      </c>
      <c r="D67" t="s">
        <v>1135</v>
      </c>
    </row>
    <row r="68" spans="1:4" x14ac:dyDescent="0.35">
      <c r="A68" t="s">
        <v>1136</v>
      </c>
      <c r="B68">
        <v>1</v>
      </c>
      <c r="C68" t="s">
        <v>1004</v>
      </c>
      <c r="D68" t="s">
        <v>1137</v>
      </c>
    </row>
    <row r="69" spans="1:4" x14ac:dyDescent="0.35">
      <c r="A69" t="s">
        <v>1138</v>
      </c>
      <c r="B69">
        <v>1</v>
      </c>
      <c r="C69" t="s">
        <v>1004</v>
      </c>
      <c r="D69" t="s">
        <v>1139</v>
      </c>
    </row>
    <row r="70" spans="1:4" x14ac:dyDescent="0.35">
      <c r="A70" t="s">
        <v>1140</v>
      </c>
      <c r="B70">
        <v>1</v>
      </c>
      <c r="C70" t="s">
        <v>1004</v>
      </c>
      <c r="D70" t="s">
        <v>1141</v>
      </c>
    </row>
    <row r="71" spans="1:4" x14ac:dyDescent="0.35">
      <c r="A71" t="s">
        <v>1142</v>
      </c>
      <c r="B71">
        <v>1</v>
      </c>
      <c r="C71" t="s">
        <v>1004</v>
      </c>
      <c r="D71" t="s">
        <v>1143</v>
      </c>
    </row>
    <row r="72" spans="1:4" x14ac:dyDescent="0.35">
      <c r="A72" s="70" t="s">
        <v>1144</v>
      </c>
      <c r="B72">
        <v>1</v>
      </c>
      <c r="C72" t="s">
        <v>1004</v>
      </c>
      <c r="D72" t="s">
        <v>1145</v>
      </c>
    </row>
    <row r="73" spans="1:4" x14ac:dyDescent="0.35">
      <c r="A73" t="s">
        <v>1146</v>
      </c>
      <c r="B73">
        <v>1</v>
      </c>
      <c r="C73" t="s">
        <v>1004</v>
      </c>
      <c r="D73" t="s">
        <v>1147</v>
      </c>
    </row>
    <row r="74" spans="1:4" x14ac:dyDescent="0.35">
      <c r="A74" t="s">
        <v>1148</v>
      </c>
      <c r="B74">
        <v>1</v>
      </c>
      <c r="C74" t="s">
        <v>1004</v>
      </c>
      <c r="D74" t="s">
        <v>1149</v>
      </c>
    </row>
    <row r="75" spans="1:4" x14ac:dyDescent="0.35">
      <c r="A75" t="s">
        <v>1150</v>
      </c>
      <c r="B75">
        <v>1</v>
      </c>
      <c r="C75" t="s">
        <v>1004</v>
      </c>
      <c r="D75" t="s">
        <v>1151</v>
      </c>
    </row>
    <row r="76" spans="1:4" x14ac:dyDescent="0.35">
      <c r="A76" s="70" t="s">
        <v>1152</v>
      </c>
      <c r="B76">
        <v>1</v>
      </c>
      <c r="C76" t="s">
        <v>1004</v>
      </c>
      <c r="D76" t="s">
        <v>1153</v>
      </c>
    </row>
    <row r="77" spans="1:4" x14ac:dyDescent="0.35">
      <c r="A77" t="s">
        <v>1154</v>
      </c>
      <c r="B77">
        <v>1</v>
      </c>
      <c r="C77" t="s">
        <v>1004</v>
      </c>
      <c r="D77" t="s">
        <v>1155</v>
      </c>
    </row>
    <row r="78" spans="1:4" x14ac:dyDescent="0.35">
      <c r="A78" t="s">
        <v>1156</v>
      </c>
      <c r="B78">
        <v>1</v>
      </c>
      <c r="C78" t="s">
        <v>1004</v>
      </c>
      <c r="D78" t="s">
        <v>1157</v>
      </c>
    </row>
    <row r="79" spans="1:4" x14ac:dyDescent="0.35">
      <c r="A79" t="s">
        <v>1158</v>
      </c>
      <c r="B79">
        <v>1</v>
      </c>
      <c r="C79" t="s">
        <v>1004</v>
      </c>
      <c r="D79" t="s">
        <v>1159</v>
      </c>
    </row>
    <row r="80" spans="1:4" x14ac:dyDescent="0.35">
      <c r="A80" t="s">
        <v>1160</v>
      </c>
      <c r="B80">
        <v>1</v>
      </c>
      <c r="C80" t="s">
        <v>1004</v>
      </c>
      <c r="D80" t="s">
        <v>1161</v>
      </c>
    </row>
    <row r="81" spans="1:4" x14ac:dyDescent="0.35">
      <c r="A81" t="s">
        <v>1162</v>
      </c>
      <c r="B81">
        <v>1</v>
      </c>
      <c r="C81" t="s">
        <v>1004</v>
      </c>
      <c r="D81" t="s">
        <v>1163</v>
      </c>
    </row>
    <row r="82" spans="1:4" x14ac:dyDescent="0.35">
      <c r="A82" t="s">
        <v>1164</v>
      </c>
      <c r="B82">
        <v>1</v>
      </c>
      <c r="C82" t="s">
        <v>1004</v>
      </c>
      <c r="D82" t="s">
        <v>1165</v>
      </c>
    </row>
    <row r="83" spans="1:4" x14ac:dyDescent="0.35">
      <c r="A83" t="s">
        <v>1166</v>
      </c>
      <c r="B83">
        <v>1</v>
      </c>
      <c r="C83" t="s">
        <v>1004</v>
      </c>
      <c r="D83" t="s">
        <v>1167</v>
      </c>
    </row>
    <row r="84" spans="1:4" x14ac:dyDescent="0.35">
      <c r="A84" t="s">
        <v>1168</v>
      </c>
      <c r="B84">
        <v>1</v>
      </c>
      <c r="C84" t="s">
        <v>1004</v>
      </c>
      <c r="D84" t="s">
        <v>1169</v>
      </c>
    </row>
    <row r="85" spans="1:4" x14ac:dyDescent="0.35">
      <c r="A85" t="s">
        <v>1170</v>
      </c>
      <c r="B85">
        <v>1</v>
      </c>
      <c r="C85" t="s">
        <v>1004</v>
      </c>
      <c r="D85" t="s">
        <v>1171</v>
      </c>
    </row>
    <row r="86" spans="1:4" x14ac:dyDescent="0.35">
      <c r="A86" t="s">
        <v>1172</v>
      </c>
      <c r="B86">
        <v>1</v>
      </c>
      <c r="C86" t="s">
        <v>1004</v>
      </c>
      <c r="D86" t="s">
        <v>1173</v>
      </c>
    </row>
    <row r="87" spans="1:4" x14ac:dyDescent="0.35">
      <c r="A87" t="s">
        <v>1174</v>
      </c>
      <c r="B87">
        <v>1</v>
      </c>
      <c r="C87" t="s">
        <v>1004</v>
      </c>
      <c r="D87" t="s">
        <v>1175</v>
      </c>
    </row>
    <row r="88" spans="1:4" x14ac:dyDescent="0.35">
      <c r="A88" t="s">
        <v>1176</v>
      </c>
      <c r="B88">
        <v>1</v>
      </c>
      <c r="C88" t="s">
        <v>1004</v>
      </c>
      <c r="D88" t="s">
        <v>1177</v>
      </c>
    </row>
    <row r="89" spans="1:4" x14ac:dyDescent="0.35">
      <c r="A89" t="s">
        <v>1178</v>
      </c>
      <c r="B89">
        <v>1</v>
      </c>
      <c r="C89" t="s">
        <v>1004</v>
      </c>
      <c r="D89" t="s">
        <v>1179</v>
      </c>
    </row>
    <row r="90" spans="1:4" x14ac:dyDescent="0.35">
      <c r="A90" t="s">
        <v>1180</v>
      </c>
      <c r="B90">
        <v>1</v>
      </c>
      <c r="C90" t="s">
        <v>1004</v>
      </c>
      <c r="D90" t="s">
        <v>1181</v>
      </c>
    </row>
    <row r="91" spans="1:4" x14ac:dyDescent="0.35">
      <c r="A91" t="s">
        <v>1182</v>
      </c>
      <c r="B91">
        <v>1</v>
      </c>
      <c r="C91" t="s">
        <v>1004</v>
      </c>
      <c r="D91" t="s">
        <v>1183</v>
      </c>
    </row>
    <row r="92" spans="1:4" x14ac:dyDescent="0.35">
      <c r="A92" t="s">
        <v>1184</v>
      </c>
      <c r="B92">
        <v>1</v>
      </c>
      <c r="C92" t="s">
        <v>1004</v>
      </c>
      <c r="D92" t="s">
        <v>1185</v>
      </c>
    </row>
    <row r="93" spans="1:4" x14ac:dyDescent="0.35">
      <c r="A93" t="s">
        <v>1186</v>
      </c>
      <c r="B93">
        <v>1</v>
      </c>
      <c r="C93" t="s">
        <v>1004</v>
      </c>
      <c r="D93" t="s">
        <v>1187</v>
      </c>
    </row>
    <row r="94" spans="1:4" x14ac:dyDescent="0.35">
      <c r="A94" t="s">
        <v>1188</v>
      </c>
      <c r="B94">
        <v>1</v>
      </c>
      <c r="C94" t="s">
        <v>1004</v>
      </c>
      <c r="D94" t="s">
        <v>1189</v>
      </c>
    </row>
    <row r="95" spans="1:4" x14ac:dyDescent="0.35">
      <c r="A95" t="s">
        <v>1190</v>
      </c>
      <c r="B95">
        <v>1</v>
      </c>
      <c r="C95" t="s">
        <v>1004</v>
      </c>
      <c r="D95" t="s">
        <v>1191</v>
      </c>
    </row>
    <row r="96" spans="1:4" x14ac:dyDescent="0.35">
      <c r="A96" t="s">
        <v>1192</v>
      </c>
      <c r="B96">
        <v>1</v>
      </c>
      <c r="C96" t="s">
        <v>1004</v>
      </c>
      <c r="D96" t="s">
        <v>1193</v>
      </c>
    </row>
    <row r="97" spans="1:4" x14ac:dyDescent="0.35">
      <c r="A97" t="s">
        <v>1194</v>
      </c>
      <c r="B97">
        <v>1</v>
      </c>
      <c r="C97" t="s">
        <v>1004</v>
      </c>
      <c r="D97" t="s">
        <v>1195</v>
      </c>
    </row>
    <row r="98" spans="1:4" x14ac:dyDescent="0.35">
      <c r="A98" t="s">
        <v>1196</v>
      </c>
      <c r="B98">
        <v>1</v>
      </c>
      <c r="C98" t="s">
        <v>1004</v>
      </c>
      <c r="D98" t="s">
        <v>1197</v>
      </c>
    </row>
    <row r="99" spans="1:4" x14ac:dyDescent="0.35">
      <c r="A99" t="s">
        <v>1198</v>
      </c>
      <c r="B99">
        <v>1</v>
      </c>
      <c r="C99" t="s">
        <v>1004</v>
      </c>
      <c r="D99" t="s">
        <v>1199</v>
      </c>
    </row>
    <row r="100" spans="1:4" x14ac:dyDescent="0.35">
      <c r="A100" t="s">
        <v>1200</v>
      </c>
      <c r="B100">
        <v>1</v>
      </c>
      <c r="C100" t="s">
        <v>1004</v>
      </c>
      <c r="D100" t="s">
        <v>1201</v>
      </c>
    </row>
    <row r="101" spans="1:4" x14ac:dyDescent="0.35">
      <c r="A101" t="s">
        <v>1202</v>
      </c>
      <c r="B101">
        <v>1</v>
      </c>
      <c r="C101" t="s">
        <v>1004</v>
      </c>
      <c r="D101" t="s">
        <v>1203</v>
      </c>
    </row>
    <row r="102" spans="1:4" x14ac:dyDescent="0.35">
      <c r="A102" t="s">
        <v>1204</v>
      </c>
      <c r="B102">
        <v>1</v>
      </c>
      <c r="C102" t="s">
        <v>1004</v>
      </c>
      <c r="D102" t="s">
        <v>1205</v>
      </c>
    </row>
    <row r="103" spans="1:4" x14ac:dyDescent="0.35">
      <c r="A103" t="s">
        <v>1206</v>
      </c>
      <c r="B103">
        <v>1</v>
      </c>
      <c r="C103" t="s">
        <v>1004</v>
      </c>
      <c r="D103" t="s">
        <v>1207</v>
      </c>
    </row>
    <row r="104" spans="1:4" x14ac:dyDescent="0.35">
      <c r="A104" t="s">
        <v>1208</v>
      </c>
      <c r="B104">
        <v>1</v>
      </c>
      <c r="C104" t="s">
        <v>1004</v>
      </c>
      <c r="D104" t="s">
        <v>1209</v>
      </c>
    </row>
    <row r="105" spans="1:4" x14ac:dyDescent="0.35">
      <c r="A105" t="s">
        <v>1210</v>
      </c>
      <c r="B105">
        <v>1</v>
      </c>
      <c r="C105" t="s">
        <v>1004</v>
      </c>
      <c r="D105" t="s">
        <v>1211</v>
      </c>
    </row>
    <row r="106" spans="1:4" x14ac:dyDescent="0.35">
      <c r="A106" t="s">
        <v>1212</v>
      </c>
      <c r="B106">
        <v>1</v>
      </c>
      <c r="C106" t="s">
        <v>1004</v>
      </c>
      <c r="D106" t="s">
        <v>1213</v>
      </c>
    </row>
    <row r="107" spans="1:4" x14ac:dyDescent="0.35">
      <c r="A107" t="s">
        <v>1214</v>
      </c>
      <c r="B107">
        <v>1</v>
      </c>
      <c r="C107" t="s">
        <v>1004</v>
      </c>
      <c r="D107" t="s">
        <v>1215</v>
      </c>
    </row>
    <row r="108" spans="1:4" x14ac:dyDescent="0.35">
      <c r="A108" t="s">
        <v>1216</v>
      </c>
      <c r="B108">
        <v>1</v>
      </c>
      <c r="C108" t="s">
        <v>1004</v>
      </c>
      <c r="D108" t="s">
        <v>1217</v>
      </c>
    </row>
    <row r="109" spans="1:4" x14ac:dyDescent="0.35">
      <c r="A109" t="s">
        <v>1218</v>
      </c>
      <c r="B109">
        <v>1</v>
      </c>
      <c r="C109" t="s">
        <v>1004</v>
      </c>
      <c r="D109" t="s">
        <v>1219</v>
      </c>
    </row>
    <row r="110" spans="1:4" x14ac:dyDescent="0.35">
      <c r="A110" t="s">
        <v>1220</v>
      </c>
      <c r="B110">
        <v>1</v>
      </c>
      <c r="C110" t="s">
        <v>1004</v>
      </c>
      <c r="D110" t="s">
        <v>1221</v>
      </c>
    </row>
    <row r="111" spans="1:4" x14ac:dyDescent="0.35">
      <c r="A111" t="s">
        <v>1222</v>
      </c>
      <c r="B111">
        <v>1</v>
      </c>
      <c r="C111" t="s">
        <v>1004</v>
      </c>
      <c r="D111" t="s">
        <v>1223</v>
      </c>
    </row>
    <row r="112" spans="1:4" x14ac:dyDescent="0.35">
      <c r="A112" t="s">
        <v>1224</v>
      </c>
      <c r="B112">
        <v>1</v>
      </c>
      <c r="C112" t="s">
        <v>1004</v>
      </c>
      <c r="D112" t="s">
        <v>1225</v>
      </c>
    </row>
    <row r="113" spans="1:4" x14ac:dyDescent="0.35">
      <c r="A113" t="s">
        <v>1226</v>
      </c>
      <c r="B113">
        <v>1</v>
      </c>
      <c r="C113" t="s">
        <v>1004</v>
      </c>
      <c r="D113" t="s">
        <v>1227</v>
      </c>
    </row>
    <row r="114" spans="1:4" x14ac:dyDescent="0.35">
      <c r="A114" t="s">
        <v>1228</v>
      </c>
      <c r="B114">
        <v>1</v>
      </c>
      <c r="C114" t="s">
        <v>1004</v>
      </c>
      <c r="D114" t="s">
        <v>1229</v>
      </c>
    </row>
    <row r="115" spans="1:4" x14ac:dyDescent="0.35">
      <c r="A115" t="s">
        <v>1230</v>
      </c>
      <c r="B115">
        <v>1</v>
      </c>
      <c r="C115" t="s">
        <v>1004</v>
      </c>
      <c r="D115" t="s">
        <v>1231</v>
      </c>
    </row>
    <row r="116" spans="1:4" x14ac:dyDescent="0.35">
      <c r="A116" t="s">
        <v>1232</v>
      </c>
      <c r="B116">
        <v>1</v>
      </c>
      <c r="C116" t="s">
        <v>1004</v>
      </c>
      <c r="D116" t="s">
        <v>1233</v>
      </c>
    </row>
    <row r="117" spans="1:4" x14ac:dyDescent="0.35">
      <c r="A117" t="s">
        <v>1234</v>
      </c>
      <c r="B117">
        <v>1</v>
      </c>
      <c r="C117" t="s">
        <v>1004</v>
      </c>
      <c r="D117" t="s">
        <v>1235</v>
      </c>
    </row>
    <row r="118" spans="1:4" x14ac:dyDescent="0.35">
      <c r="A118" t="s">
        <v>1236</v>
      </c>
      <c r="B118">
        <v>1</v>
      </c>
      <c r="C118" t="s">
        <v>1004</v>
      </c>
      <c r="D118" t="s">
        <v>1237</v>
      </c>
    </row>
    <row r="119" spans="1:4" x14ac:dyDescent="0.35">
      <c r="A119" t="s">
        <v>1238</v>
      </c>
      <c r="B119">
        <v>1</v>
      </c>
      <c r="C119" t="s">
        <v>1004</v>
      </c>
      <c r="D119" t="s">
        <v>1239</v>
      </c>
    </row>
    <row r="120" spans="1:4" x14ac:dyDescent="0.35">
      <c r="A120" t="s">
        <v>1240</v>
      </c>
      <c r="B120">
        <v>1</v>
      </c>
      <c r="C120" t="s">
        <v>1004</v>
      </c>
      <c r="D120" t="s">
        <v>1241</v>
      </c>
    </row>
    <row r="121" spans="1:4" x14ac:dyDescent="0.35">
      <c r="A121" t="s">
        <v>1242</v>
      </c>
      <c r="B121">
        <v>1</v>
      </c>
      <c r="C121" t="s">
        <v>1004</v>
      </c>
      <c r="D121" t="s">
        <v>1243</v>
      </c>
    </row>
    <row r="122" spans="1:4" x14ac:dyDescent="0.35">
      <c r="A122" t="s">
        <v>1244</v>
      </c>
      <c r="B122">
        <v>1</v>
      </c>
      <c r="C122" t="s">
        <v>1004</v>
      </c>
      <c r="D122" t="s">
        <v>1245</v>
      </c>
    </row>
    <row r="123" spans="1:4" x14ac:dyDescent="0.35">
      <c r="A123" t="s">
        <v>1246</v>
      </c>
      <c r="B123">
        <v>1</v>
      </c>
      <c r="C123" t="s">
        <v>1004</v>
      </c>
      <c r="D123" t="s">
        <v>1247</v>
      </c>
    </row>
    <row r="124" spans="1:4" x14ac:dyDescent="0.35">
      <c r="A124" t="s">
        <v>1248</v>
      </c>
      <c r="B124">
        <v>1</v>
      </c>
      <c r="C124" t="s">
        <v>1004</v>
      </c>
      <c r="D124" t="s">
        <v>1249</v>
      </c>
    </row>
    <row r="125" spans="1:4" x14ac:dyDescent="0.35">
      <c r="A125" t="s">
        <v>1250</v>
      </c>
      <c r="B125">
        <v>1</v>
      </c>
      <c r="C125" t="s">
        <v>1004</v>
      </c>
      <c r="D125" t="s">
        <v>1251</v>
      </c>
    </row>
    <row r="126" spans="1:4" x14ac:dyDescent="0.35">
      <c r="A126" t="s">
        <v>1252</v>
      </c>
      <c r="B126">
        <v>1</v>
      </c>
      <c r="C126" t="s">
        <v>1004</v>
      </c>
      <c r="D126" t="s">
        <v>1253</v>
      </c>
    </row>
    <row r="127" spans="1:4" x14ac:dyDescent="0.35">
      <c r="A127" t="s">
        <v>1254</v>
      </c>
      <c r="B127">
        <v>1</v>
      </c>
      <c r="C127" t="s">
        <v>1004</v>
      </c>
      <c r="D127" t="s">
        <v>1255</v>
      </c>
    </row>
    <row r="128" spans="1:4" x14ac:dyDescent="0.35">
      <c r="A128" t="s">
        <v>1256</v>
      </c>
      <c r="B128">
        <v>1</v>
      </c>
      <c r="C128" t="s">
        <v>1004</v>
      </c>
      <c r="D128" t="s">
        <v>1257</v>
      </c>
    </row>
    <row r="129" spans="1:4" x14ac:dyDescent="0.35">
      <c r="A129" t="s">
        <v>1258</v>
      </c>
      <c r="B129">
        <v>1</v>
      </c>
      <c r="C129" t="s">
        <v>1004</v>
      </c>
      <c r="D129" t="s">
        <v>1259</v>
      </c>
    </row>
    <row r="130" spans="1:4" x14ac:dyDescent="0.35">
      <c r="A130" t="s">
        <v>1260</v>
      </c>
      <c r="B130">
        <v>1</v>
      </c>
      <c r="C130" t="s">
        <v>1004</v>
      </c>
      <c r="D130" t="s">
        <v>1261</v>
      </c>
    </row>
    <row r="131" spans="1:4" x14ac:dyDescent="0.35">
      <c r="A131" t="s">
        <v>1262</v>
      </c>
      <c r="B131">
        <v>1</v>
      </c>
      <c r="C131" t="s">
        <v>1004</v>
      </c>
      <c r="D131" t="s">
        <v>1263</v>
      </c>
    </row>
    <row r="132" spans="1:4" x14ac:dyDescent="0.35">
      <c r="A132" t="s">
        <v>1264</v>
      </c>
      <c r="B132">
        <v>1</v>
      </c>
      <c r="C132" t="s">
        <v>1004</v>
      </c>
      <c r="D132" t="s">
        <v>1265</v>
      </c>
    </row>
    <row r="133" spans="1:4" x14ac:dyDescent="0.35">
      <c r="A133" t="s">
        <v>1266</v>
      </c>
      <c r="B133">
        <v>1</v>
      </c>
      <c r="C133" t="s">
        <v>1004</v>
      </c>
      <c r="D133" t="s">
        <v>1267</v>
      </c>
    </row>
    <row r="134" spans="1:4" x14ac:dyDescent="0.35">
      <c r="A134" t="s">
        <v>1268</v>
      </c>
      <c r="B134">
        <v>1</v>
      </c>
      <c r="C134" t="s">
        <v>1004</v>
      </c>
      <c r="D134" t="s">
        <v>1269</v>
      </c>
    </row>
    <row r="135" spans="1:4" x14ac:dyDescent="0.35">
      <c r="A135" t="s">
        <v>1270</v>
      </c>
      <c r="B135">
        <v>1</v>
      </c>
      <c r="C135" t="s">
        <v>1004</v>
      </c>
      <c r="D135" t="s">
        <v>1271</v>
      </c>
    </row>
    <row r="136" spans="1:4" x14ac:dyDescent="0.35">
      <c r="A136" t="s">
        <v>1272</v>
      </c>
      <c r="B136">
        <v>1</v>
      </c>
      <c r="C136" t="s">
        <v>1004</v>
      </c>
      <c r="D136" t="s">
        <v>1273</v>
      </c>
    </row>
    <row r="137" spans="1:4" x14ac:dyDescent="0.35">
      <c r="A137" t="s">
        <v>1274</v>
      </c>
      <c r="B137">
        <v>1</v>
      </c>
      <c r="C137" t="s">
        <v>1004</v>
      </c>
      <c r="D137" t="s">
        <v>1275</v>
      </c>
    </row>
    <row r="138" spans="1:4" x14ac:dyDescent="0.35">
      <c r="A138" t="s">
        <v>1276</v>
      </c>
      <c r="B138">
        <v>1</v>
      </c>
      <c r="C138" t="s">
        <v>1004</v>
      </c>
      <c r="D138" t="s">
        <v>1277</v>
      </c>
    </row>
    <row r="139" spans="1:4" x14ac:dyDescent="0.35">
      <c r="A139" t="s">
        <v>1278</v>
      </c>
      <c r="B139">
        <v>1</v>
      </c>
      <c r="C139" t="s">
        <v>1004</v>
      </c>
      <c r="D139" t="s">
        <v>1279</v>
      </c>
    </row>
    <row r="140" spans="1:4" x14ac:dyDescent="0.35">
      <c r="A140" t="s">
        <v>1280</v>
      </c>
      <c r="B140">
        <v>1</v>
      </c>
      <c r="C140" t="s">
        <v>1004</v>
      </c>
      <c r="D140" t="s">
        <v>1281</v>
      </c>
    </row>
    <row r="141" spans="1:4" x14ac:dyDescent="0.35">
      <c r="A141" t="s">
        <v>1282</v>
      </c>
      <c r="B141">
        <v>1</v>
      </c>
      <c r="C141" t="s">
        <v>1004</v>
      </c>
      <c r="D141" t="s">
        <v>1283</v>
      </c>
    </row>
    <row r="142" spans="1:4" x14ac:dyDescent="0.35">
      <c r="A142" t="s">
        <v>1284</v>
      </c>
      <c r="B142">
        <v>1</v>
      </c>
      <c r="C142" t="s">
        <v>1004</v>
      </c>
      <c r="D142" t="s">
        <v>1285</v>
      </c>
    </row>
    <row r="143" spans="1:4" x14ac:dyDescent="0.35">
      <c r="A143" t="s">
        <v>1286</v>
      </c>
      <c r="B143">
        <v>1</v>
      </c>
      <c r="C143" t="s">
        <v>1004</v>
      </c>
      <c r="D143" t="s">
        <v>1287</v>
      </c>
    </row>
    <row r="144" spans="1:4" x14ac:dyDescent="0.35">
      <c r="A144" t="s">
        <v>1288</v>
      </c>
      <c r="B144">
        <v>1</v>
      </c>
      <c r="C144" t="s">
        <v>1004</v>
      </c>
      <c r="D144" t="s">
        <v>1289</v>
      </c>
    </row>
    <row r="145" spans="1:4" x14ac:dyDescent="0.35">
      <c r="A145" t="s">
        <v>1290</v>
      </c>
      <c r="B145">
        <v>1</v>
      </c>
      <c r="C145" t="s">
        <v>1004</v>
      </c>
      <c r="D145" t="s">
        <v>1291</v>
      </c>
    </row>
    <row r="146" spans="1:4" x14ac:dyDescent="0.35">
      <c r="A146" t="s">
        <v>1292</v>
      </c>
      <c r="B146">
        <v>1</v>
      </c>
      <c r="C146" t="s">
        <v>1004</v>
      </c>
      <c r="D146" t="s">
        <v>1293</v>
      </c>
    </row>
    <row r="147" spans="1:4" x14ac:dyDescent="0.35">
      <c r="A147" t="s">
        <v>1294</v>
      </c>
      <c r="B147">
        <v>1</v>
      </c>
      <c r="C147" t="s">
        <v>1004</v>
      </c>
      <c r="D147" t="s">
        <v>1295</v>
      </c>
    </row>
    <row r="148" spans="1:4" x14ac:dyDescent="0.35">
      <c r="A148" t="s">
        <v>1296</v>
      </c>
      <c r="B148">
        <v>1</v>
      </c>
      <c r="C148" t="s">
        <v>1004</v>
      </c>
      <c r="D148" t="s">
        <v>1297</v>
      </c>
    </row>
    <row r="149" spans="1:4" x14ac:dyDescent="0.35">
      <c r="A149" t="s">
        <v>1298</v>
      </c>
      <c r="B149">
        <v>1</v>
      </c>
      <c r="C149" t="s">
        <v>1004</v>
      </c>
      <c r="D149" t="s">
        <v>1299</v>
      </c>
    </row>
    <row r="150" spans="1:4" x14ac:dyDescent="0.35">
      <c r="A150" t="s">
        <v>1300</v>
      </c>
      <c r="B150">
        <v>1</v>
      </c>
      <c r="C150" t="s">
        <v>1004</v>
      </c>
      <c r="D150" t="s">
        <v>1301</v>
      </c>
    </row>
    <row r="151" spans="1:4" x14ac:dyDescent="0.35">
      <c r="A151" t="s">
        <v>1302</v>
      </c>
      <c r="B151">
        <v>1</v>
      </c>
      <c r="C151" t="s">
        <v>1004</v>
      </c>
      <c r="D151" t="s">
        <v>1303</v>
      </c>
    </row>
    <row r="152" spans="1:4" x14ac:dyDescent="0.35">
      <c r="A152" t="s">
        <v>1304</v>
      </c>
      <c r="B152">
        <v>1</v>
      </c>
      <c r="C152" t="s">
        <v>1004</v>
      </c>
      <c r="D152" t="s">
        <v>1305</v>
      </c>
    </row>
    <row r="153" spans="1:4" x14ac:dyDescent="0.35">
      <c r="A153" t="s">
        <v>1306</v>
      </c>
      <c r="B153">
        <v>1</v>
      </c>
      <c r="C153" t="s">
        <v>1004</v>
      </c>
      <c r="D153" t="s">
        <v>1307</v>
      </c>
    </row>
    <row r="154" spans="1:4" x14ac:dyDescent="0.35">
      <c r="A154" t="s">
        <v>1308</v>
      </c>
      <c r="B154">
        <v>1</v>
      </c>
      <c r="C154" t="s">
        <v>1004</v>
      </c>
      <c r="D154" t="s">
        <v>1309</v>
      </c>
    </row>
    <row r="155" spans="1:4" x14ac:dyDescent="0.35">
      <c r="A155" s="70" t="s">
        <v>1310</v>
      </c>
      <c r="B155">
        <v>1</v>
      </c>
      <c r="C155" t="s">
        <v>1004</v>
      </c>
      <c r="D155" t="s">
        <v>1311</v>
      </c>
    </row>
    <row r="156" spans="1:4" x14ac:dyDescent="0.35">
      <c r="A156" t="s">
        <v>1312</v>
      </c>
      <c r="B156">
        <v>1</v>
      </c>
      <c r="C156" t="s">
        <v>1004</v>
      </c>
      <c r="D156" t="s">
        <v>1313</v>
      </c>
    </row>
    <row r="157" spans="1:4" x14ac:dyDescent="0.35">
      <c r="A157" t="s">
        <v>1314</v>
      </c>
      <c r="B157">
        <v>1</v>
      </c>
      <c r="C157" t="s">
        <v>1004</v>
      </c>
      <c r="D157" t="s">
        <v>1315</v>
      </c>
    </row>
    <row r="158" spans="1:4" x14ac:dyDescent="0.35">
      <c r="A158" t="s">
        <v>1316</v>
      </c>
      <c r="B158">
        <v>1</v>
      </c>
      <c r="C158" t="s">
        <v>1004</v>
      </c>
      <c r="D158" t="s">
        <v>1317</v>
      </c>
    </row>
    <row r="159" spans="1:4" x14ac:dyDescent="0.35">
      <c r="A159" t="s">
        <v>1318</v>
      </c>
      <c r="B159">
        <v>1</v>
      </c>
      <c r="C159" t="s">
        <v>1004</v>
      </c>
      <c r="D159" t="s">
        <v>1319</v>
      </c>
    </row>
    <row r="160" spans="1:4" x14ac:dyDescent="0.35">
      <c r="A160" t="s">
        <v>1320</v>
      </c>
      <c r="B160">
        <v>1</v>
      </c>
      <c r="C160" t="s">
        <v>1004</v>
      </c>
      <c r="D160" t="s">
        <v>1321</v>
      </c>
    </row>
    <row r="161" spans="1:4" x14ac:dyDescent="0.35">
      <c r="A161" t="s">
        <v>1322</v>
      </c>
      <c r="B161">
        <v>1</v>
      </c>
      <c r="C161" t="s">
        <v>1004</v>
      </c>
      <c r="D161" t="s">
        <v>1323</v>
      </c>
    </row>
    <row r="162" spans="1:4" x14ac:dyDescent="0.35">
      <c r="A162" t="s">
        <v>1324</v>
      </c>
      <c r="B162">
        <v>1</v>
      </c>
      <c r="C162" t="s">
        <v>1004</v>
      </c>
      <c r="D162" t="s">
        <v>1325</v>
      </c>
    </row>
    <row r="163" spans="1:4" x14ac:dyDescent="0.35">
      <c r="A163" t="s">
        <v>1326</v>
      </c>
      <c r="B163">
        <v>1</v>
      </c>
      <c r="C163" t="s">
        <v>1004</v>
      </c>
      <c r="D163" t="s">
        <v>1327</v>
      </c>
    </row>
    <row r="164" spans="1:4" x14ac:dyDescent="0.35">
      <c r="A164" t="s">
        <v>1328</v>
      </c>
      <c r="B164">
        <v>1</v>
      </c>
      <c r="C164" t="s">
        <v>1004</v>
      </c>
      <c r="D164" t="s">
        <v>1329</v>
      </c>
    </row>
    <row r="165" spans="1:4" x14ac:dyDescent="0.35">
      <c r="A165" t="s">
        <v>1330</v>
      </c>
      <c r="B165">
        <v>1</v>
      </c>
      <c r="C165" t="s">
        <v>1004</v>
      </c>
      <c r="D165" t="s">
        <v>1331</v>
      </c>
    </row>
    <row r="166" spans="1:4" x14ac:dyDescent="0.35">
      <c r="A166" t="s">
        <v>1332</v>
      </c>
      <c r="B166">
        <v>1</v>
      </c>
      <c r="C166" t="s">
        <v>1004</v>
      </c>
      <c r="D166" t="s">
        <v>1333</v>
      </c>
    </row>
    <row r="167" spans="1:4" x14ac:dyDescent="0.35">
      <c r="A167" t="s">
        <v>1334</v>
      </c>
      <c r="B167">
        <v>1</v>
      </c>
      <c r="C167" t="s">
        <v>1004</v>
      </c>
      <c r="D167" t="s">
        <v>1335</v>
      </c>
    </row>
    <row r="168" spans="1:4" x14ac:dyDescent="0.35">
      <c r="A168" t="s">
        <v>1336</v>
      </c>
      <c r="B168">
        <v>1</v>
      </c>
      <c r="C168" t="s">
        <v>1004</v>
      </c>
      <c r="D168" t="s">
        <v>1337</v>
      </c>
    </row>
    <row r="169" spans="1:4" x14ac:dyDescent="0.35">
      <c r="A169" t="s">
        <v>1338</v>
      </c>
      <c r="B169">
        <v>1</v>
      </c>
      <c r="C169" t="s">
        <v>1004</v>
      </c>
      <c r="D169" t="s">
        <v>1339</v>
      </c>
    </row>
    <row r="170" spans="1:4" x14ac:dyDescent="0.35">
      <c r="A170" t="s">
        <v>1340</v>
      </c>
      <c r="B170">
        <v>1</v>
      </c>
      <c r="C170" t="s">
        <v>1004</v>
      </c>
      <c r="D170" t="s">
        <v>1341</v>
      </c>
    </row>
    <row r="171" spans="1:4" x14ac:dyDescent="0.35">
      <c r="A171" t="s">
        <v>1342</v>
      </c>
      <c r="B171">
        <v>1</v>
      </c>
      <c r="C171" t="s">
        <v>1004</v>
      </c>
      <c r="D171" t="s">
        <v>1343</v>
      </c>
    </row>
    <row r="172" spans="1:4" x14ac:dyDescent="0.35">
      <c r="A172" t="s">
        <v>1344</v>
      </c>
      <c r="B172">
        <v>1</v>
      </c>
      <c r="C172" t="s">
        <v>1004</v>
      </c>
      <c r="D172" t="s">
        <v>1345</v>
      </c>
    </row>
    <row r="173" spans="1:4" x14ac:dyDescent="0.35">
      <c r="A173" t="s">
        <v>1346</v>
      </c>
      <c r="B173">
        <v>1</v>
      </c>
      <c r="C173" t="s">
        <v>1004</v>
      </c>
      <c r="D173" t="s">
        <v>1347</v>
      </c>
    </row>
    <row r="174" spans="1:4" x14ac:dyDescent="0.35">
      <c r="A174" t="s">
        <v>1348</v>
      </c>
      <c r="B174">
        <v>1</v>
      </c>
      <c r="C174" t="s">
        <v>1004</v>
      </c>
      <c r="D174" t="s">
        <v>1349</v>
      </c>
    </row>
    <row r="175" spans="1:4" x14ac:dyDescent="0.35">
      <c r="A175" t="s">
        <v>1350</v>
      </c>
      <c r="B175">
        <v>1</v>
      </c>
      <c r="C175" t="s">
        <v>1004</v>
      </c>
      <c r="D175" t="s">
        <v>1351</v>
      </c>
    </row>
    <row r="176" spans="1:4" x14ac:dyDescent="0.35">
      <c r="A176" t="s">
        <v>1352</v>
      </c>
      <c r="B176">
        <v>1</v>
      </c>
      <c r="C176" t="s">
        <v>1004</v>
      </c>
      <c r="D176" t="s">
        <v>1353</v>
      </c>
    </row>
    <row r="177" spans="1:4" x14ac:dyDescent="0.35">
      <c r="A177" t="s">
        <v>1354</v>
      </c>
      <c r="B177">
        <v>1</v>
      </c>
      <c r="C177" t="s">
        <v>1004</v>
      </c>
      <c r="D177" t="s">
        <v>1355</v>
      </c>
    </row>
    <row r="178" spans="1:4" x14ac:dyDescent="0.35">
      <c r="A178" t="s">
        <v>1356</v>
      </c>
      <c r="B178">
        <v>1</v>
      </c>
      <c r="C178" t="s">
        <v>1004</v>
      </c>
      <c r="D178" t="s">
        <v>1357</v>
      </c>
    </row>
    <row r="179" spans="1:4" x14ac:dyDescent="0.35">
      <c r="A179" t="s">
        <v>1358</v>
      </c>
      <c r="B179">
        <v>1</v>
      </c>
      <c r="C179" t="s">
        <v>1004</v>
      </c>
      <c r="D179" t="s">
        <v>1359</v>
      </c>
    </row>
    <row r="180" spans="1:4" x14ac:dyDescent="0.35">
      <c r="A180" t="s">
        <v>1360</v>
      </c>
      <c r="B180">
        <v>1</v>
      </c>
      <c r="C180" t="s">
        <v>1004</v>
      </c>
      <c r="D180" t="s">
        <v>1361</v>
      </c>
    </row>
    <row r="181" spans="1:4" x14ac:dyDescent="0.35">
      <c r="A181" t="s">
        <v>1362</v>
      </c>
      <c r="B181">
        <v>1</v>
      </c>
      <c r="C181" t="s">
        <v>1004</v>
      </c>
      <c r="D181" t="s">
        <v>1363</v>
      </c>
    </row>
    <row r="182" spans="1:4" x14ac:dyDescent="0.35">
      <c r="A182" t="s">
        <v>1364</v>
      </c>
      <c r="B182">
        <v>1</v>
      </c>
      <c r="C182" t="s">
        <v>1004</v>
      </c>
      <c r="D182" t="s">
        <v>1365</v>
      </c>
    </row>
    <row r="183" spans="1:4" x14ac:dyDescent="0.35">
      <c r="A183" t="s">
        <v>1366</v>
      </c>
      <c r="B183">
        <v>1</v>
      </c>
      <c r="C183" t="s">
        <v>1004</v>
      </c>
      <c r="D183" t="s">
        <v>1367</v>
      </c>
    </row>
    <row r="184" spans="1:4" x14ac:dyDescent="0.35">
      <c r="A184" t="s">
        <v>1368</v>
      </c>
      <c r="B184">
        <v>1</v>
      </c>
      <c r="C184" t="s">
        <v>1004</v>
      </c>
      <c r="D184" t="s">
        <v>1369</v>
      </c>
    </row>
    <row r="185" spans="1:4" x14ac:dyDescent="0.35">
      <c r="A185" s="70" t="s">
        <v>1370</v>
      </c>
      <c r="B185">
        <v>1</v>
      </c>
      <c r="C185" t="s">
        <v>1004</v>
      </c>
      <c r="D185" t="s">
        <v>1371</v>
      </c>
    </row>
    <row r="186" spans="1:4" x14ac:dyDescent="0.35">
      <c r="A186" t="s">
        <v>1372</v>
      </c>
      <c r="B186">
        <v>1</v>
      </c>
      <c r="C186" t="s">
        <v>1004</v>
      </c>
      <c r="D186" t="s">
        <v>1373</v>
      </c>
    </row>
    <row r="187" spans="1:4" x14ac:dyDescent="0.35">
      <c r="A187" t="s">
        <v>1374</v>
      </c>
      <c r="B187">
        <v>1</v>
      </c>
      <c r="C187" t="s">
        <v>1004</v>
      </c>
      <c r="D187" t="s">
        <v>1375</v>
      </c>
    </row>
    <row r="188" spans="1:4" x14ac:dyDescent="0.35">
      <c r="A188" t="s">
        <v>1376</v>
      </c>
      <c r="B188">
        <v>1</v>
      </c>
      <c r="C188" t="s">
        <v>1004</v>
      </c>
      <c r="D188" t="s">
        <v>1377</v>
      </c>
    </row>
    <row r="189" spans="1:4" x14ac:dyDescent="0.35">
      <c r="A189" t="s">
        <v>1378</v>
      </c>
      <c r="B189">
        <v>1</v>
      </c>
      <c r="C189" t="s">
        <v>1004</v>
      </c>
      <c r="D189" t="s">
        <v>1379</v>
      </c>
    </row>
    <row r="190" spans="1:4" x14ac:dyDescent="0.35">
      <c r="A190" t="s">
        <v>1380</v>
      </c>
      <c r="B190">
        <v>1</v>
      </c>
      <c r="C190" t="s">
        <v>1004</v>
      </c>
      <c r="D190" t="s">
        <v>1381</v>
      </c>
    </row>
    <row r="191" spans="1:4" x14ac:dyDescent="0.35">
      <c r="A191" t="s">
        <v>1382</v>
      </c>
      <c r="B191">
        <v>1</v>
      </c>
      <c r="C191" t="s">
        <v>1004</v>
      </c>
      <c r="D191" t="s">
        <v>1383</v>
      </c>
    </row>
    <row r="192" spans="1:4" x14ac:dyDescent="0.35">
      <c r="A192" t="s">
        <v>1384</v>
      </c>
      <c r="B192">
        <v>1</v>
      </c>
      <c r="C192" t="s">
        <v>1004</v>
      </c>
      <c r="D192" t="s">
        <v>1385</v>
      </c>
    </row>
    <row r="193" spans="1:4" x14ac:dyDescent="0.35">
      <c r="A193" s="70" t="s">
        <v>1386</v>
      </c>
      <c r="B193">
        <v>1</v>
      </c>
      <c r="C193" t="s">
        <v>1004</v>
      </c>
      <c r="D193" t="s">
        <v>1387</v>
      </c>
    </row>
    <row r="194" spans="1:4" x14ac:dyDescent="0.35">
      <c r="A194" t="s">
        <v>1388</v>
      </c>
      <c r="B194">
        <v>1</v>
      </c>
      <c r="C194" t="s">
        <v>1004</v>
      </c>
      <c r="D194" t="s">
        <v>1389</v>
      </c>
    </row>
    <row r="195" spans="1:4" x14ac:dyDescent="0.35">
      <c r="A195" t="s">
        <v>1390</v>
      </c>
      <c r="B195">
        <v>1</v>
      </c>
      <c r="C195" t="s">
        <v>1004</v>
      </c>
      <c r="D195" t="s">
        <v>1391</v>
      </c>
    </row>
    <row r="196" spans="1:4" x14ac:dyDescent="0.35">
      <c r="A196" t="s">
        <v>1392</v>
      </c>
      <c r="B196">
        <v>1</v>
      </c>
      <c r="C196" t="s">
        <v>1004</v>
      </c>
      <c r="D196" t="s">
        <v>1393</v>
      </c>
    </row>
    <row r="197" spans="1:4" x14ac:dyDescent="0.35">
      <c r="A197" t="s">
        <v>1394</v>
      </c>
      <c r="B197">
        <v>1</v>
      </c>
      <c r="C197" t="s">
        <v>1004</v>
      </c>
      <c r="D197" t="s">
        <v>1395</v>
      </c>
    </row>
    <row r="198" spans="1:4" x14ac:dyDescent="0.35">
      <c r="A198" t="s">
        <v>1396</v>
      </c>
      <c r="B198">
        <v>1</v>
      </c>
      <c r="C198" t="s">
        <v>1004</v>
      </c>
      <c r="D198" t="s">
        <v>1397</v>
      </c>
    </row>
    <row r="199" spans="1:4" x14ac:dyDescent="0.35">
      <c r="A199" t="s">
        <v>1398</v>
      </c>
      <c r="B199">
        <v>1</v>
      </c>
      <c r="C199" t="s">
        <v>1004</v>
      </c>
      <c r="D199" t="s">
        <v>1399</v>
      </c>
    </row>
    <row r="200" spans="1:4" x14ac:dyDescent="0.35">
      <c r="A200" t="s">
        <v>1400</v>
      </c>
      <c r="B200">
        <v>1</v>
      </c>
      <c r="C200" t="s">
        <v>1004</v>
      </c>
      <c r="D200" t="s">
        <v>1401</v>
      </c>
    </row>
    <row r="201" spans="1:4" x14ac:dyDescent="0.35">
      <c r="A201" t="s">
        <v>1402</v>
      </c>
      <c r="B201">
        <v>1</v>
      </c>
      <c r="C201" t="s">
        <v>1004</v>
      </c>
      <c r="D201" t="s">
        <v>1403</v>
      </c>
    </row>
    <row r="202" spans="1:4" x14ac:dyDescent="0.35">
      <c r="A202" t="s">
        <v>1404</v>
      </c>
      <c r="B202">
        <v>1</v>
      </c>
      <c r="C202" t="s">
        <v>1004</v>
      </c>
      <c r="D202" t="s">
        <v>1405</v>
      </c>
    </row>
    <row r="203" spans="1:4" x14ac:dyDescent="0.35">
      <c r="A203" t="s">
        <v>1406</v>
      </c>
      <c r="B203">
        <v>1</v>
      </c>
      <c r="C203" t="s">
        <v>1004</v>
      </c>
      <c r="D203" t="s">
        <v>1407</v>
      </c>
    </row>
    <row r="204" spans="1:4" x14ac:dyDescent="0.35">
      <c r="A204" t="s">
        <v>1408</v>
      </c>
      <c r="B204">
        <v>1</v>
      </c>
      <c r="C204" t="s">
        <v>1004</v>
      </c>
      <c r="D204" t="s">
        <v>1409</v>
      </c>
    </row>
    <row r="205" spans="1:4" x14ac:dyDescent="0.35">
      <c r="A205" t="s">
        <v>1410</v>
      </c>
      <c r="B205">
        <v>1</v>
      </c>
      <c r="C205" t="s">
        <v>1004</v>
      </c>
      <c r="D205" t="s">
        <v>1411</v>
      </c>
    </row>
    <row r="206" spans="1:4" x14ac:dyDescent="0.35">
      <c r="A206" t="s">
        <v>1412</v>
      </c>
      <c r="B206">
        <v>1</v>
      </c>
      <c r="C206" t="s">
        <v>1004</v>
      </c>
      <c r="D206" t="s">
        <v>1413</v>
      </c>
    </row>
    <row r="207" spans="1:4" x14ac:dyDescent="0.35">
      <c r="A207" t="s">
        <v>1414</v>
      </c>
      <c r="B207">
        <v>1</v>
      </c>
      <c r="C207" t="s">
        <v>1004</v>
      </c>
      <c r="D207" t="s">
        <v>1415</v>
      </c>
    </row>
    <row r="208" spans="1:4" x14ac:dyDescent="0.35">
      <c r="A208" t="s">
        <v>1416</v>
      </c>
      <c r="B208">
        <v>1</v>
      </c>
      <c r="C208" t="s">
        <v>1004</v>
      </c>
      <c r="D208" t="s">
        <v>1417</v>
      </c>
    </row>
    <row r="209" spans="1:4" x14ac:dyDescent="0.35">
      <c r="A209" t="s">
        <v>1418</v>
      </c>
      <c r="B209">
        <v>1</v>
      </c>
      <c r="C209" t="s">
        <v>1004</v>
      </c>
      <c r="D209" t="s">
        <v>1419</v>
      </c>
    </row>
    <row r="210" spans="1:4" x14ac:dyDescent="0.35">
      <c r="A210" t="s">
        <v>1420</v>
      </c>
      <c r="B210">
        <v>1</v>
      </c>
      <c r="C210" t="s">
        <v>1004</v>
      </c>
      <c r="D210" t="s">
        <v>1421</v>
      </c>
    </row>
    <row r="211" spans="1:4" x14ac:dyDescent="0.35">
      <c r="A211" t="s">
        <v>1422</v>
      </c>
      <c r="B211">
        <v>1</v>
      </c>
      <c r="C211" t="s">
        <v>1004</v>
      </c>
      <c r="D211" t="s">
        <v>1423</v>
      </c>
    </row>
    <row r="212" spans="1:4" x14ac:dyDescent="0.35">
      <c r="A212" t="s">
        <v>1424</v>
      </c>
      <c r="B212">
        <v>1</v>
      </c>
      <c r="C212" t="s">
        <v>1004</v>
      </c>
      <c r="D212" t="s">
        <v>1425</v>
      </c>
    </row>
    <row r="213" spans="1:4" x14ac:dyDescent="0.35">
      <c r="A213" t="s">
        <v>1426</v>
      </c>
      <c r="B213">
        <v>1</v>
      </c>
      <c r="C213" t="s">
        <v>1004</v>
      </c>
      <c r="D213" t="s">
        <v>1427</v>
      </c>
    </row>
    <row r="214" spans="1:4" x14ac:dyDescent="0.35">
      <c r="A214" t="s">
        <v>1428</v>
      </c>
      <c r="B214">
        <v>1</v>
      </c>
      <c r="C214" t="s">
        <v>1004</v>
      </c>
      <c r="D214" t="s">
        <v>1429</v>
      </c>
    </row>
    <row r="215" spans="1:4" x14ac:dyDescent="0.35">
      <c r="A215" t="s">
        <v>1430</v>
      </c>
      <c r="B215">
        <v>1</v>
      </c>
      <c r="C215" t="s">
        <v>1004</v>
      </c>
      <c r="D215" t="s">
        <v>1431</v>
      </c>
    </row>
    <row r="216" spans="1:4" x14ac:dyDescent="0.35">
      <c r="A216" t="s">
        <v>1432</v>
      </c>
      <c r="B216">
        <v>1</v>
      </c>
      <c r="C216" t="s">
        <v>1004</v>
      </c>
      <c r="D216" t="s">
        <v>1433</v>
      </c>
    </row>
    <row r="217" spans="1:4" x14ac:dyDescent="0.35">
      <c r="A217" t="s">
        <v>1434</v>
      </c>
      <c r="B217">
        <v>1</v>
      </c>
      <c r="C217" t="s">
        <v>1004</v>
      </c>
      <c r="D217" t="s">
        <v>1435</v>
      </c>
    </row>
    <row r="218" spans="1:4" x14ac:dyDescent="0.35">
      <c r="A218" s="70" t="s">
        <v>1436</v>
      </c>
      <c r="B218">
        <v>1</v>
      </c>
      <c r="C218" t="s">
        <v>1004</v>
      </c>
      <c r="D218" t="s">
        <v>1437</v>
      </c>
    </row>
    <row r="219" spans="1:4" x14ac:dyDescent="0.35">
      <c r="A219" t="s">
        <v>1438</v>
      </c>
      <c r="B219">
        <v>1</v>
      </c>
      <c r="C219" t="s">
        <v>1004</v>
      </c>
      <c r="D219" t="s">
        <v>1439</v>
      </c>
    </row>
    <row r="220" spans="1:4" x14ac:dyDescent="0.35">
      <c r="A220" t="s">
        <v>1440</v>
      </c>
      <c r="B220">
        <v>1</v>
      </c>
      <c r="C220" t="s">
        <v>1004</v>
      </c>
      <c r="D220" t="s">
        <v>1441</v>
      </c>
    </row>
    <row r="221" spans="1:4" x14ac:dyDescent="0.35">
      <c r="A221" t="s">
        <v>1442</v>
      </c>
      <c r="B221">
        <v>1</v>
      </c>
      <c r="C221" t="s">
        <v>1004</v>
      </c>
      <c r="D221" t="s">
        <v>1443</v>
      </c>
    </row>
    <row r="222" spans="1:4" x14ac:dyDescent="0.35">
      <c r="A222" t="s">
        <v>1444</v>
      </c>
      <c r="B222">
        <v>1</v>
      </c>
      <c r="C222" t="s">
        <v>1004</v>
      </c>
      <c r="D222" t="s">
        <v>1445</v>
      </c>
    </row>
    <row r="223" spans="1:4" x14ac:dyDescent="0.35">
      <c r="A223" t="s">
        <v>1446</v>
      </c>
      <c r="B223">
        <v>1</v>
      </c>
      <c r="C223" t="s">
        <v>1004</v>
      </c>
      <c r="D223" t="s">
        <v>1447</v>
      </c>
    </row>
    <row r="224" spans="1:4" x14ac:dyDescent="0.35">
      <c r="A224" t="s">
        <v>1448</v>
      </c>
      <c r="B224">
        <v>1</v>
      </c>
      <c r="C224" t="s">
        <v>1004</v>
      </c>
      <c r="D224" t="s">
        <v>1449</v>
      </c>
    </row>
    <row r="225" spans="1:4" x14ac:dyDescent="0.35">
      <c r="A225" t="s">
        <v>1450</v>
      </c>
      <c r="B225">
        <v>1</v>
      </c>
      <c r="C225" t="s">
        <v>1004</v>
      </c>
      <c r="D225" t="s">
        <v>1451</v>
      </c>
    </row>
    <row r="226" spans="1:4" x14ac:dyDescent="0.35">
      <c r="A226" t="s">
        <v>1452</v>
      </c>
      <c r="B226">
        <v>1</v>
      </c>
      <c r="C226" t="s">
        <v>1004</v>
      </c>
      <c r="D226" t="s">
        <v>1453</v>
      </c>
    </row>
    <row r="227" spans="1:4" x14ac:dyDescent="0.35">
      <c r="A227" t="s">
        <v>1454</v>
      </c>
      <c r="B227">
        <v>1</v>
      </c>
      <c r="C227" t="s">
        <v>1004</v>
      </c>
      <c r="D227" t="s">
        <v>1455</v>
      </c>
    </row>
    <row r="228" spans="1:4" x14ac:dyDescent="0.35">
      <c r="A228" t="s">
        <v>1456</v>
      </c>
      <c r="B228">
        <v>1</v>
      </c>
      <c r="C228" t="s">
        <v>1004</v>
      </c>
      <c r="D228" t="s">
        <v>1457</v>
      </c>
    </row>
    <row r="229" spans="1:4" x14ac:dyDescent="0.35">
      <c r="A229" t="s">
        <v>1458</v>
      </c>
      <c r="B229">
        <v>1</v>
      </c>
      <c r="C229" t="s">
        <v>1004</v>
      </c>
      <c r="D229" t="s">
        <v>1459</v>
      </c>
    </row>
    <row r="230" spans="1:4" x14ac:dyDescent="0.35">
      <c r="A230" t="s">
        <v>1460</v>
      </c>
      <c r="B230">
        <v>1</v>
      </c>
      <c r="C230" t="s">
        <v>1004</v>
      </c>
      <c r="D230" t="s">
        <v>1461</v>
      </c>
    </row>
    <row r="231" spans="1:4" x14ac:dyDescent="0.35">
      <c r="A231" t="s">
        <v>1462</v>
      </c>
      <c r="B231">
        <v>1</v>
      </c>
      <c r="C231" t="s">
        <v>1004</v>
      </c>
      <c r="D231" t="s">
        <v>1463</v>
      </c>
    </row>
    <row r="232" spans="1:4" x14ac:dyDescent="0.35">
      <c r="A232" t="s">
        <v>1464</v>
      </c>
      <c r="B232">
        <v>1</v>
      </c>
      <c r="C232" t="s">
        <v>1004</v>
      </c>
      <c r="D232" t="s">
        <v>1465</v>
      </c>
    </row>
    <row r="233" spans="1:4" x14ac:dyDescent="0.35">
      <c r="A233" t="s">
        <v>1466</v>
      </c>
      <c r="B233">
        <v>1</v>
      </c>
      <c r="C233" t="s">
        <v>1004</v>
      </c>
      <c r="D233" t="s">
        <v>1467</v>
      </c>
    </row>
    <row r="234" spans="1:4" x14ac:dyDescent="0.35">
      <c r="A234" t="s">
        <v>1468</v>
      </c>
      <c r="B234">
        <v>1</v>
      </c>
      <c r="C234" t="s">
        <v>1004</v>
      </c>
      <c r="D234" t="s">
        <v>1469</v>
      </c>
    </row>
    <row r="235" spans="1:4" x14ac:dyDescent="0.35">
      <c r="A235" t="s">
        <v>1470</v>
      </c>
      <c r="B235">
        <v>1</v>
      </c>
      <c r="C235" t="s">
        <v>1004</v>
      </c>
      <c r="D235" t="s">
        <v>1471</v>
      </c>
    </row>
    <row r="236" spans="1:4" x14ac:dyDescent="0.35">
      <c r="A236" s="70" t="s">
        <v>1472</v>
      </c>
      <c r="B236">
        <v>1</v>
      </c>
      <c r="C236" t="s">
        <v>1004</v>
      </c>
      <c r="D236" t="s">
        <v>1473</v>
      </c>
    </row>
    <row r="237" spans="1:4" x14ac:dyDescent="0.35">
      <c r="A237" t="s">
        <v>1474</v>
      </c>
      <c r="B237">
        <v>1</v>
      </c>
      <c r="C237" t="s">
        <v>1004</v>
      </c>
      <c r="D237" t="s">
        <v>1475</v>
      </c>
    </row>
    <row r="238" spans="1:4" x14ac:dyDescent="0.35">
      <c r="A238" t="s">
        <v>1476</v>
      </c>
      <c r="B238">
        <v>1</v>
      </c>
      <c r="C238" t="s">
        <v>1004</v>
      </c>
      <c r="D238" t="s">
        <v>1477</v>
      </c>
    </row>
    <row r="239" spans="1:4" x14ac:dyDescent="0.35">
      <c r="A239" t="s">
        <v>1478</v>
      </c>
      <c r="B239">
        <v>1</v>
      </c>
      <c r="C239" t="s">
        <v>1004</v>
      </c>
      <c r="D239" t="s">
        <v>1479</v>
      </c>
    </row>
    <row r="240" spans="1:4" x14ac:dyDescent="0.35">
      <c r="A240" t="s">
        <v>1480</v>
      </c>
      <c r="B240">
        <v>1</v>
      </c>
      <c r="C240" t="s">
        <v>1004</v>
      </c>
      <c r="D240" t="s">
        <v>1481</v>
      </c>
    </row>
    <row r="241" spans="1:4" x14ac:dyDescent="0.35">
      <c r="A241" t="s">
        <v>1482</v>
      </c>
      <c r="B241">
        <v>1</v>
      </c>
      <c r="C241" t="s">
        <v>1004</v>
      </c>
      <c r="D241" t="s">
        <v>1483</v>
      </c>
    </row>
    <row r="242" spans="1:4" x14ac:dyDescent="0.35">
      <c r="A242" s="70" t="s">
        <v>1484</v>
      </c>
      <c r="B242">
        <v>1</v>
      </c>
      <c r="C242" t="s">
        <v>1004</v>
      </c>
      <c r="D242" t="s">
        <v>1485</v>
      </c>
    </row>
    <row r="243" spans="1:4" x14ac:dyDescent="0.35">
      <c r="A243" t="s">
        <v>1486</v>
      </c>
      <c r="B243">
        <v>1</v>
      </c>
      <c r="C243" t="s">
        <v>1004</v>
      </c>
      <c r="D243" t="s">
        <v>1487</v>
      </c>
    </row>
    <row r="244" spans="1:4" x14ac:dyDescent="0.35">
      <c r="A244" t="s">
        <v>1488</v>
      </c>
      <c r="B244">
        <v>1</v>
      </c>
      <c r="C244" t="s">
        <v>1004</v>
      </c>
      <c r="D244" t="s">
        <v>1489</v>
      </c>
    </row>
    <row r="245" spans="1:4" x14ac:dyDescent="0.35">
      <c r="A245" t="s">
        <v>1490</v>
      </c>
      <c r="B245">
        <v>1</v>
      </c>
      <c r="C245" t="s">
        <v>1004</v>
      </c>
      <c r="D245" t="s">
        <v>1491</v>
      </c>
    </row>
    <row r="246" spans="1:4" x14ac:dyDescent="0.35">
      <c r="A246" t="s">
        <v>1492</v>
      </c>
      <c r="B246">
        <v>1</v>
      </c>
      <c r="C246" t="s">
        <v>1004</v>
      </c>
      <c r="D246" t="s">
        <v>1493</v>
      </c>
    </row>
    <row r="247" spans="1:4" x14ac:dyDescent="0.35">
      <c r="A247" t="s">
        <v>1494</v>
      </c>
      <c r="B247">
        <v>1</v>
      </c>
      <c r="C247" t="s">
        <v>1004</v>
      </c>
      <c r="D247" t="s">
        <v>1495</v>
      </c>
    </row>
    <row r="248" spans="1:4" x14ac:dyDescent="0.35">
      <c r="A248" t="s">
        <v>1496</v>
      </c>
      <c r="B248">
        <v>1</v>
      </c>
      <c r="C248" t="s">
        <v>1004</v>
      </c>
      <c r="D248" t="s">
        <v>1497</v>
      </c>
    </row>
    <row r="249" spans="1:4" x14ac:dyDescent="0.35">
      <c r="A249" t="s">
        <v>1498</v>
      </c>
      <c r="B249">
        <v>1</v>
      </c>
      <c r="C249" t="s">
        <v>1004</v>
      </c>
      <c r="D249" t="s">
        <v>1499</v>
      </c>
    </row>
    <row r="250" spans="1:4" x14ac:dyDescent="0.35">
      <c r="A250" t="s">
        <v>1500</v>
      </c>
      <c r="B250">
        <v>1</v>
      </c>
      <c r="C250" t="s">
        <v>1004</v>
      </c>
      <c r="D250" t="s">
        <v>1501</v>
      </c>
    </row>
    <row r="251" spans="1:4" x14ac:dyDescent="0.35">
      <c r="A251" t="s">
        <v>1502</v>
      </c>
      <c r="B251">
        <v>1</v>
      </c>
      <c r="C251" t="s">
        <v>1004</v>
      </c>
      <c r="D251" t="s">
        <v>1503</v>
      </c>
    </row>
    <row r="252" spans="1:4" x14ac:dyDescent="0.35">
      <c r="A252" t="s">
        <v>1504</v>
      </c>
      <c r="B252">
        <v>1</v>
      </c>
      <c r="C252" t="s">
        <v>1004</v>
      </c>
      <c r="D252" t="s">
        <v>1505</v>
      </c>
    </row>
    <row r="253" spans="1:4" x14ac:dyDescent="0.35">
      <c r="A253" t="s">
        <v>1506</v>
      </c>
      <c r="B253">
        <v>1</v>
      </c>
      <c r="C253" t="s">
        <v>1004</v>
      </c>
      <c r="D253" t="s">
        <v>1507</v>
      </c>
    </row>
    <row r="254" spans="1:4" x14ac:dyDescent="0.35">
      <c r="A254" t="s">
        <v>1508</v>
      </c>
      <c r="B254">
        <v>1</v>
      </c>
      <c r="C254" t="s">
        <v>1004</v>
      </c>
      <c r="D254" t="s">
        <v>1509</v>
      </c>
    </row>
    <row r="255" spans="1:4" x14ac:dyDescent="0.35">
      <c r="A255" t="s">
        <v>1510</v>
      </c>
      <c r="B255">
        <v>1</v>
      </c>
      <c r="C255" t="s">
        <v>1004</v>
      </c>
      <c r="D255" t="s">
        <v>1511</v>
      </c>
    </row>
    <row r="256" spans="1:4" x14ac:dyDescent="0.35">
      <c r="A256" t="s">
        <v>1512</v>
      </c>
      <c r="B256">
        <v>1</v>
      </c>
      <c r="C256" t="s">
        <v>1004</v>
      </c>
      <c r="D256" t="s">
        <v>1513</v>
      </c>
    </row>
    <row r="257" spans="1:4" x14ac:dyDescent="0.35">
      <c r="A257" t="s">
        <v>1514</v>
      </c>
      <c r="B257">
        <v>1</v>
      </c>
      <c r="C257" t="s">
        <v>1004</v>
      </c>
      <c r="D257" t="s">
        <v>1515</v>
      </c>
    </row>
    <row r="258" spans="1:4" x14ac:dyDescent="0.35">
      <c r="A258" t="s">
        <v>1516</v>
      </c>
      <c r="B258">
        <v>1</v>
      </c>
      <c r="C258" t="s">
        <v>1004</v>
      </c>
      <c r="D258" t="s">
        <v>1517</v>
      </c>
    </row>
    <row r="259" spans="1:4" x14ac:dyDescent="0.35">
      <c r="A259" t="s">
        <v>1518</v>
      </c>
      <c r="B259">
        <v>1</v>
      </c>
      <c r="C259" t="s">
        <v>1004</v>
      </c>
      <c r="D259" t="s">
        <v>1519</v>
      </c>
    </row>
    <row r="260" spans="1:4" x14ac:dyDescent="0.35">
      <c r="A260" t="s">
        <v>1520</v>
      </c>
      <c r="B260">
        <v>1</v>
      </c>
      <c r="C260" t="s">
        <v>1004</v>
      </c>
      <c r="D260" t="s">
        <v>1521</v>
      </c>
    </row>
    <row r="261" spans="1:4" x14ac:dyDescent="0.35">
      <c r="A261" t="s">
        <v>1522</v>
      </c>
      <c r="B261">
        <v>1</v>
      </c>
      <c r="C261" t="s">
        <v>1004</v>
      </c>
      <c r="D261" t="s">
        <v>1523</v>
      </c>
    </row>
    <row r="262" spans="1:4" x14ac:dyDescent="0.35">
      <c r="A262" t="s">
        <v>1524</v>
      </c>
      <c r="B262">
        <v>1</v>
      </c>
      <c r="C262" t="s">
        <v>1004</v>
      </c>
      <c r="D262" t="s">
        <v>1525</v>
      </c>
    </row>
    <row r="263" spans="1:4" x14ac:dyDescent="0.35">
      <c r="A263" t="s">
        <v>1526</v>
      </c>
      <c r="B263">
        <v>1</v>
      </c>
      <c r="C263" t="s">
        <v>1004</v>
      </c>
      <c r="D263" t="s">
        <v>1527</v>
      </c>
    </row>
    <row r="264" spans="1:4" x14ac:dyDescent="0.35">
      <c r="A264" t="s">
        <v>1528</v>
      </c>
      <c r="B264">
        <v>1</v>
      </c>
      <c r="C264" t="s">
        <v>1004</v>
      </c>
      <c r="D264" t="s">
        <v>1529</v>
      </c>
    </row>
    <row r="265" spans="1:4" x14ac:dyDescent="0.35">
      <c r="A265" t="s">
        <v>1530</v>
      </c>
      <c r="B265">
        <v>1</v>
      </c>
      <c r="C265" t="s">
        <v>1004</v>
      </c>
      <c r="D265" t="s">
        <v>1531</v>
      </c>
    </row>
    <row r="266" spans="1:4" x14ac:dyDescent="0.35">
      <c r="A266" t="s">
        <v>1532</v>
      </c>
      <c r="B266">
        <v>1</v>
      </c>
      <c r="C266" t="s">
        <v>1004</v>
      </c>
      <c r="D266" t="s">
        <v>1533</v>
      </c>
    </row>
    <row r="267" spans="1:4" x14ac:dyDescent="0.35">
      <c r="A267" t="s">
        <v>1534</v>
      </c>
      <c r="B267">
        <v>1</v>
      </c>
      <c r="C267" t="s">
        <v>1004</v>
      </c>
      <c r="D267" t="s">
        <v>1535</v>
      </c>
    </row>
    <row r="268" spans="1:4" x14ac:dyDescent="0.35">
      <c r="A268" t="s">
        <v>1536</v>
      </c>
      <c r="B268">
        <v>1</v>
      </c>
      <c r="C268" t="s">
        <v>1004</v>
      </c>
      <c r="D268" t="s">
        <v>1537</v>
      </c>
    </row>
    <row r="269" spans="1:4" x14ac:dyDescent="0.35">
      <c r="A269" t="s">
        <v>1538</v>
      </c>
      <c r="B269">
        <v>1</v>
      </c>
      <c r="C269" t="s">
        <v>1004</v>
      </c>
      <c r="D269" t="s">
        <v>1539</v>
      </c>
    </row>
    <row r="270" spans="1:4" x14ac:dyDescent="0.35">
      <c r="A270" t="s">
        <v>1540</v>
      </c>
      <c r="B270">
        <v>1</v>
      </c>
      <c r="C270" t="s">
        <v>1004</v>
      </c>
      <c r="D270" t="s">
        <v>1541</v>
      </c>
    </row>
    <row r="271" spans="1:4" x14ac:dyDescent="0.35">
      <c r="A271" t="s">
        <v>1542</v>
      </c>
      <c r="B271">
        <v>1</v>
      </c>
      <c r="C271" t="s">
        <v>1004</v>
      </c>
      <c r="D271" t="s">
        <v>1543</v>
      </c>
    </row>
    <row r="272" spans="1:4" x14ac:dyDescent="0.35">
      <c r="A272" t="s">
        <v>1544</v>
      </c>
      <c r="B272">
        <v>1</v>
      </c>
      <c r="C272" t="s">
        <v>1004</v>
      </c>
      <c r="D272" t="s">
        <v>1545</v>
      </c>
    </row>
    <row r="273" spans="1:4" x14ac:dyDescent="0.35">
      <c r="A273" t="s">
        <v>1546</v>
      </c>
      <c r="B273">
        <v>1</v>
      </c>
      <c r="C273" t="s">
        <v>1004</v>
      </c>
      <c r="D273" t="s">
        <v>1547</v>
      </c>
    </row>
    <row r="274" spans="1:4" x14ac:dyDescent="0.35">
      <c r="A274" t="s">
        <v>1548</v>
      </c>
      <c r="B274">
        <v>1</v>
      </c>
      <c r="C274" t="s">
        <v>1004</v>
      </c>
      <c r="D274" t="s">
        <v>1549</v>
      </c>
    </row>
    <row r="275" spans="1:4" x14ac:dyDescent="0.35">
      <c r="A275" t="s">
        <v>1550</v>
      </c>
      <c r="B275">
        <v>1</v>
      </c>
      <c r="C275" t="s">
        <v>1004</v>
      </c>
      <c r="D275" t="s">
        <v>1551</v>
      </c>
    </row>
    <row r="276" spans="1:4" x14ac:dyDescent="0.35">
      <c r="A276" t="s">
        <v>1552</v>
      </c>
      <c r="B276">
        <v>1</v>
      </c>
      <c r="C276" t="s">
        <v>1004</v>
      </c>
      <c r="D276" t="s">
        <v>1553</v>
      </c>
    </row>
    <row r="277" spans="1:4" x14ac:dyDescent="0.35">
      <c r="A277" t="s">
        <v>1554</v>
      </c>
      <c r="B277">
        <v>1</v>
      </c>
      <c r="C277" t="s">
        <v>1004</v>
      </c>
      <c r="D277" t="s">
        <v>1555</v>
      </c>
    </row>
    <row r="278" spans="1:4" x14ac:dyDescent="0.35">
      <c r="A278" t="s">
        <v>1556</v>
      </c>
      <c r="B278">
        <v>1</v>
      </c>
      <c r="C278" t="s">
        <v>1004</v>
      </c>
      <c r="D278" t="s">
        <v>1557</v>
      </c>
    </row>
    <row r="279" spans="1:4" x14ac:dyDescent="0.35">
      <c r="A279" t="s">
        <v>1558</v>
      </c>
      <c r="B279">
        <v>1</v>
      </c>
      <c r="C279" t="s">
        <v>1004</v>
      </c>
      <c r="D279" t="s">
        <v>1559</v>
      </c>
    </row>
    <row r="280" spans="1:4" x14ac:dyDescent="0.35">
      <c r="A280" t="s">
        <v>1560</v>
      </c>
      <c r="B280">
        <v>1</v>
      </c>
      <c r="C280" t="s">
        <v>1004</v>
      </c>
      <c r="D280" t="s">
        <v>1561</v>
      </c>
    </row>
    <row r="281" spans="1:4" x14ac:dyDescent="0.35">
      <c r="A281" t="s">
        <v>1562</v>
      </c>
      <c r="B281">
        <v>1</v>
      </c>
      <c r="C281" t="s">
        <v>1004</v>
      </c>
      <c r="D281" t="s">
        <v>1563</v>
      </c>
    </row>
    <row r="282" spans="1:4" x14ac:dyDescent="0.35">
      <c r="A282" t="s">
        <v>1564</v>
      </c>
      <c r="B282">
        <v>1</v>
      </c>
      <c r="C282" t="s">
        <v>1004</v>
      </c>
      <c r="D282" t="s">
        <v>1565</v>
      </c>
    </row>
    <row r="283" spans="1:4" x14ac:dyDescent="0.35">
      <c r="A283" t="s">
        <v>1566</v>
      </c>
      <c r="B283">
        <v>1</v>
      </c>
      <c r="C283" t="s">
        <v>1004</v>
      </c>
      <c r="D283" t="s">
        <v>1567</v>
      </c>
    </row>
    <row r="284" spans="1:4" x14ac:dyDescent="0.35">
      <c r="A284" t="s">
        <v>1568</v>
      </c>
      <c r="B284">
        <v>1</v>
      </c>
      <c r="C284" t="s">
        <v>1004</v>
      </c>
      <c r="D284" t="s">
        <v>1569</v>
      </c>
    </row>
    <row r="285" spans="1:4" x14ac:dyDescent="0.35">
      <c r="A285" t="s">
        <v>1570</v>
      </c>
      <c r="B285">
        <v>1</v>
      </c>
      <c r="C285" t="s">
        <v>1004</v>
      </c>
      <c r="D285" t="s">
        <v>1571</v>
      </c>
    </row>
    <row r="286" spans="1:4" x14ac:dyDescent="0.35">
      <c r="A286" t="s">
        <v>1572</v>
      </c>
      <c r="B286">
        <v>1</v>
      </c>
      <c r="C286" t="s">
        <v>1004</v>
      </c>
      <c r="D286" t="s">
        <v>1573</v>
      </c>
    </row>
    <row r="287" spans="1:4" x14ac:dyDescent="0.35">
      <c r="A287" t="s">
        <v>1574</v>
      </c>
      <c r="B287">
        <v>1</v>
      </c>
      <c r="C287" t="s">
        <v>1004</v>
      </c>
      <c r="D287" t="s">
        <v>1575</v>
      </c>
    </row>
    <row r="288" spans="1:4" x14ac:dyDescent="0.35">
      <c r="A288" t="s">
        <v>1576</v>
      </c>
      <c r="B288">
        <v>1</v>
      </c>
      <c r="C288" t="s">
        <v>1004</v>
      </c>
      <c r="D288" t="s">
        <v>1577</v>
      </c>
    </row>
    <row r="289" spans="1:4" x14ac:dyDescent="0.35">
      <c r="A289" t="s">
        <v>1578</v>
      </c>
      <c r="B289">
        <v>1</v>
      </c>
      <c r="C289" t="s">
        <v>1004</v>
      </c>
      <c r="D289" t="s">
        <v>1579</v>
      </c>
    </row>
    <row r="290" spans="1:4" x14ac:dyDescent="0.35">
      <c r="A290" t="s">
        <v>1580</v>
      </c>
      <c r="B290">
        <v>1</v>
      </c>
      <c r="C290" t="s">
        <v>1004</v>
      </c>
      <c r="D290" t="s">
        <v>1581</v>
      </c>
    </row>
    <row r="291" spans="1:4" x14ac:dyDescent="0.35">
      <c r="A291" t="s">
        <v>1582</v>
      </c>
      <c r="B291">
        <v>1</v>
      </c>
      <c r="C291" t="s">
        <v>1004</v>
      </c>
      <c r="D291" t="s">
        <v>1583</v>
      </c>
    </row>
    <row r="292" spans="1:4" x14ac:dyDescent="0.35">
      <c r="A292" t="s">
        <v>1584</v>
      </c>
      <c r="B292">
        <v>1</v>
      </c>
      <c r="C292" t="s">
        <v>1004</v>
      </c>
      <c r="D292" t="s">
        <v>1585</v>
      </c>
    </row>
    <row r="293" spans="1:4" x14ac:dyDescent="0.35">
      <c r="A293" t="s">
        <v>1586</v>
      </c>
      <c r="B293">
        <v>1</v>
      </c>
      <c r="C293" t="s">
        <v>1004</v>
      </c>
      <c r="D293" t="s">
        <v>1587</v>
      </c>
    </row>
    <row r="294" spans="1:4" x14ac:dyDescent="0.35">
      <c r="A294" t="s">
        <v>1588</v>
      </c>
      <c r="B294">
        <v>1</v>
      </c>
      <c r="C294" t="s">
        <v>1004</v>
      </c>
      <c r="D294" t="s">
        <v>1589</v>
      </c>
    </row>
    <row r="295" spans="1:4" x14ac:dyDescent="0.35">
      <c r="A295" t="s">
        <v>1590</v>
      </c>
      <c r="B295">
        <v>1</v>
      </c>
      <c r="C295" t="s">
        <v>1004</v>
      </c>
      <c r="D295" t="s">
        <v>1591</v>
      </c>
    </row>
    <row r="296" spans="1:4" x14ac:dyDescent="0.35">
      <c r="A296" t="s">
        <v>1592</v>
      </c>
      <c r="B296">
        <v>1</v>
      </c>
      <c r="C296" t="s">
        <v>1004</v>
      </c>
      <c r="D296" t="s">
        <v>1593</v>
      </c>
    </row>
    <row r="297" spans="1:4" x14ac:dyDescent="0.35">
      <c r="A297" t="s">
        <v>1594</v>
      </c>
      <c r="B297">
        <v>1</v>
      </c>
      <c r="C297" t="s">
        <v>1004</v>
      </c>
      <c r="D297" t="s">
        <v>1595</v>
      </c>
    </row>
    <row r="298" spans="1:4" x14ac:dyDescent="0.35">
      <c r="A298" s="70" t="s">
        <v>1596</v>
      </c>
      <c r="B298">
        <v>1</v>
      </c>
      <c r="C298" t="s">
        <v>1004</v>
      </c>
      <c r="D298" t="s">
        <v>1597</v>
      </c>
    </row>
    <row r="299" spans="1:4" x14ac:dyDescent="0.35">
      <c r="A299" t="s">
        <v>1598</v>
      </c>
      <c r="B299">
        <v>1</v>
      </c>
      <c r="C299" t="s">
        <v>1004</v>
      </c>
      <c r="D299" t="s">
        <v>1599</v>
      </c>
    </row>
    <row r="300" spans="1:4" x14ac:dyDescent="0.35">
      <c r="A300" t="s">
        <v>1600</v>
      </c>
      <c r="B300">
        <v>1</v>
      </c>
      <c r="C300" t="s">
        <v>1004</v>
      </c>
      <c r="D300" t="s">
        <v>1601</v>
      </c>
    </row>
    <row r="301" spans="1:4" x14ac:dyDescent="0.35">
      <c r="A301" s="70" t="s">
        <v>1602</v>
      </c>
      <c r="B301">
        <v>1</v>
      </c>
      <c r="C301" t="s">
        <v>1004</v>
      </c>
      <c r="D301" t="s">
        <v>1603</v>
      </c>
    </row>
    <row r="302" spans="1:4" x14ac:dyDescent="0.35">
      <c r="A302" t="s">
        <v>1604</v>
      </c>
      <c r="B302">
        <v>1</v>
      </c>
      <c r="C302" t="s">
        <v>1004</v>
      </c>
      <c r="D302" t="s">
        <v>1605</v>
      </c>
    </row>
    <row r="303" spans="1:4" x14ac:dyDescent="0.35">
      <c r="A303" t="s">
        <v>1606</v>
      </c>
      <c r="B303">
        <v>1</v>
      </c>
      <c r="C303" t="s">
        <v>1004</v>
      </c>
      <c r="D303" t="s">
        <v>1607</v>
      </c>
    </row>
    <row r="304" spans="1:4" x14ac:dyDescent="0.35">
      <c r="A304" t="s">
        <v>1608</v>
      </c>
      <c r="B304">
        <v>1</v>
      </c>
      <c r="C304" t="s">
        <v>1004</v>
      </c>
      <c r="D304" t="s">
        <v>1609</v>
      </c>
    </row>
    <row r="305" spans="1:4" x14ac:dyDescent="0.35">
      <c r="A305" t="s">
        <v>1610</v>
      </c>
      <c r="B305">
        <v>1</v>
      </c>
      <c r="C305" t="s">
        <v>1004</v>
      </c>
      <c r="D305" t="s">
        <v>1611</v>
      </c>
    </row>
    <row r="306" spans="1:4" x14ac:dyDescent="0.35">
      <c r="A306" t="s">
        <v>1612</v>
      </c>
      <c r="B306">
        <v>1</v>
      </c>
      <c r="C306" t="s">
        <v>1004</v>
      </c>
      <c r="D306" t="s">
        <v>1613</v>
      </c>
    </row>
    <row r="307" spans="1:4" x14ac:dyDescent="0.35">
      <c r="A307" t="s">
        <v>1614</v>
      </c>
      <c r="B307">
        <v>1</v>
      </c>
      <c r="C307" t="s">
        <v>1004</v>
      </c>
      <c r="D307" t="s">
        <v>1615</v>
      </c>
    </row>
    <row r="308" spans="1:4" x14ac:dyDescent="0.35">
      <c r="A308" t="s">
        <v>1616</v>
      </c>
      <c r="B308">
        <v>1</v>
      </c>
      <c r="C308" t="s">
        <v>1004</v>
      </c>
      <c r="D308" t="s">
        <v>1617</v>
      </c>
    </row>
    <row r="309" spans="1:4" x14ac:dyDescent="0.35">
      <c r="A309" t="s">
        <v>1618</v>
      </c>
      <c r="B309">
        <v>1</v>
      </c>
      <c r="C309" t="s">
        <v>1004</v>
      </c>
      <c r="D309" t="s">
        <v>1619</v>
      </c>
    </row>
    <row r="310" spans="1:4" x14ac:dyDescent="0.35">
      <c r="A310" t="s">
        <v>1620</v>
      </c>
      <c r="B310">
        <v>1</v>
      </c>
      <c r="C310" t="s">
        <v>1004</v>
      </c>
      <c r="D310" t="s">
        <v>1621</v>
      </c>
    </row>
    <row r="311" spans="1:4" x14ac:dyDescent="0.35">
      <c r="A311" t="s">
        <v>1622</v>
      </c>
      <c r="B311">
        <v>1</v>
      </c>
      <c r="C311" t="s">
        <v>1004</v>
      </c>
      <c r="D311" t="s">
        <v>1623</v>
      </c>
    </row>
    <row r="312" spans="1:4" x14ac:dyDescent="0.35">
      <c r="A312" t="s">
        <v>1624</v>
      </c>
      <c r="B312">
        <v>1</v>
      </c>
      <c r="C312" t="s">
        <v>1004</v>
      </c>
      <c r="D312" t="s">
        <v>1625</v>
      </c>
    </row>
    <row r="313" spans="1:4" x14ac:dyDescent="0.35">
      <c r="A313" t="s">
        <v>1626</v>
      </c>
      <c r="B313">
        <v>1</v>
      </c>
      <c r="C313" t="s">
        <v>1004</v>
      </c>
      <c r="D313" t="s">
        <v>1627</v>
      </c>
    </row>
    <row r="314" spans="1:4" x14ac:dyDescent="0.35">
      <c r="A314" t="s">
        <v>1628</v>
      </c>
      <c r="B314">
        <v>1</v>
      </c>
      <c r="C314" t="s">
        <v>1004</v>
      </c>
      <c r="D314" t="s">
        <v>1629</v>
      </c>
    </row>
    <row r="315" spans="1:4" x14ac:dyDescent="0.35">
      <c r="A315" t="s">
        <v>1630</v>
      </c>
      <c r="B315">
        <v>1</v>
      </c>
      <c r="C315" t="s">
        <v>1004</v>
      </c>
      <c r="D315" t="s">
        <v>1631</v>
      </c>
    </row>
    <row r="316" spans="1:4" x14ac:dyDescent="0.35">
      <c r="A316" t="s">
        <v>1632</v>
      </c>
      <c r="B316">
        <v>1</v>
      </c>
      <c r="C316" t="s">
        <v>1004</v>
      </c>
      <c r="D316" t="s">
        <v>1633</v>
      </c>
    </row>
    <row r="317" spans="1:4" x14ac:dyDescent="0.35">
      <c r="A317" t="s">
        <v>1634</v>
      </c>
      <c r="B317">
        <v>1</v>
      </c>
      <c r="C317" t="s">
        <v>1004</v>
      </c>
      <c r="D317" t="s">
        <v>1635</v>
      </c>
    </row>
    <row r="318" spans="1:4" x14ac:dyDescent="0.35">
      <c r="A318" t="s">
        <v>1636</v>
      </c>
      <c r="B318">
        <v>1</v>
      </c>
      <c r="C318" t="s">
        <v>1004</v>
      </c>
      <c r="D318" t="s">
        <v>1637</v>
      </c>
    </row>
    <row r="319" spans="1:4" x14ac:dyDescent="0.35">
      <c r="A319" t="s">
        <v>1638</v>
      </c>
      <c r="B319">
        <v>1</v>
      </c>
      <c r="C319" t="s">
        <v>1004</v>
      </c>
      <c r="D319" t="s">
        <v>1639</v>
      </c>
    </row>
    <row r="320" spans="1:4" x14ac:dyDescent="0.35">
      <c r="A320" t="s">
        <v>1640</v>
      </c>
      <c r="B320">
        <v>1</v>
      </c>
      <c r="C320" t="s">
        <v>1004</v>
      </c>
      <c r="D320" t="s">
        <v>1641</v>
      </c>
    </row>
    <row r="321" spans="1:4" x14ac:dyDescent="0.35">
      <c r="A321" t="s">
        <v>1642</v>
      </c>
      <c r="B321">
        <v>1</v>
      </c>
      <c r="C321" t="s">
        <v>1004</v>
      </c>
      <c r="D321" t="s">
        <v>1643</v>
      </c>
    </row>
    <row r="322" spans="1:4" x14ac:dyDescent="0.35">
      <c r="A322" t="s">
        <v>1644</v>
      </c>
      <c r="B322">
        <v>1</v>
      </c>
      <c r="C322" t="s">
        <v>1004</v>
      </c>
      <c r="D322" t="s">
        <v>1645</v>
      </c>
    </row>
    <row r="323" spans="1:4" x14ac:dyDescent="0.35">
      <c r="A323" t="s">
        <v>1646</v>
      </c>
      <c r="B323">
        <v>1</v>
      </c>
      <c r="C323" t="s">
        <v>1004</v>
      </c>
      <c r="D323" t="s">
        <v>1647</v>
      </c>
    </row>
    <row r="324" spans="1:4" x14ac:dyDescent="0.35">
      <c r="A324" t="s">
        <v>1648</v>
      </c>
      <c r="B324">
        <v>1</v>
      </c>
      <c r="C324" t="s">
        <v>1004</v>
      </c>
      <c r="D324" t="s">
        <v>1649</v>
      </c>
    </row>
    <row r="325" spans="1:4" x14ac:dyDescent="0.35">
      <c r="A325" t="s">
        <v>1650</v>
      </c>
      <c r="B325">
        <v>1</v>
      </c>
      <c r="C325" t="s">
        <v>1004</v>
      </c>
      <c r="D325" t="s">
        <v>1651</v>
      </c>
    </row>
    <row r="326" spans="1:4" x14ac:dyDescent="0.35">
      <c r="A326" t="s">
        <v>1652</v>
      </c>
      <c r="B326">
        <v>1</v>
      </c>
      <c r="C326" t="s">
        <v>1004</v>
      </c>
      <c r="D326" t="s">
        <v>1653</v>
      </c>
    </row>
    <row r="327" spans="1:4" x14ac:dyDescent="0.35">
      <c r="A327" t="s">
        <v>1654</v>
      </c>
      <c r="B327">
        <v>1</v>
      </c>
      <c r="C327" t="s">
        <v>1004</v>
      </c>
      <c r="D327" t="s">
        <v>1655</v>
      </c>
    </row>
    <row r="328" spans="1:4" x14ac:dyDescent="0.35">
      <c r="A328" t="s">
        <v>1656</v>
      </c>
      <c r="B328">
        <v>1</v>
      </c>
      <c r="C328" t="s">
        <v>1004</v>
      </c>
      <c r="D328" t="s">
        <v>1657</v>
      </c>
    </row>
    <row r="329" spans="1:4" x14ac:dyDescent="0.35">
      <c r="A329" t="s">
        <v>1658</v>
      </c>
      <c r="B329">
        <v>1</v>
      </c>
      <c r="C329" t="s">
        <v>1004</v>
      </c>
      <c r="D329" t="s">
        <v>1659</v>
      </c>
    </row>
    <row r="330" spans="1:4" x14ac:dyDescent="0.35">
      <c r="A330" t="s">
        <v>1660</v>
      </c>
      <c r="B330">
        <v>1</v>
      </c>
      <c r="C330" t="s">
        <v>1004</v>
      </c>
      <c r="D330" t="s">
        <v>1661</v>
      </c>
    </row>
    <row r="331" spans="1:4" x14ac:dyDescent="0.35">
      <c r="A331" t="s">
        <v>1662</v>
      </c>
      <c r="B331">
        <v>1</v>
      </c>
      <c r="C331" t="s">
        <v>1004</v>
      </c>
      <c r="D331" t="s">
        <v>1663</v>
      </c>
    </row>
    <row r="332" spans="1:4" x14ac:dyDescent="0.35">
      <c r="A332" t="s">
        <v>1664</v>
      </c>
      <c r="B332">
        <v>1</v>
      </c>
      <c r="C332" t="s">
        <v>1004</v>
      </c>
      <c r="D332" t="s">
        <v>1665</v>
      </c>
    </row>
    <row r="333" spans="1:4" x14ac:dyDescent="0.35">
      <c r="A333" t="s">
        <v>1666</v>
      </c>
      <c r="B333">
        <v>1</v>
      </c>
      <c r="C333" t="s">
        <v>1004</v>
      </c>
      <c r="D333" t="s">
        <v>1667</v>
      </c>
    </row>
    <row r="334" spans="1:4" x14ac:dyDescent="0.35">
      <c r="A334" t="s">
        <v>1668</v>
      </c>
      <c r="B334">
        <v>1</v>
      </c>
      <c r="C334" t="s">
        <v>1004</v>
      </c>
      <c r="D334" t="s">
        <v>1669</v>
      </c>
    </row>
    <row r="335" spans="1:4" x14ac:dyDescent="0.35">
      <c r="A335" t="s">
        <v>1670</v>
      </c>
      <c r="B335">
        <v>1</v>
      </c>
      <c r="C335" t="s">
        <v>1004</v>
      </c>
      <c r="D335" t="s">
        <v>1671</v>
      </c>
    </row>
    <row r="336" spans="1:4" x14ac:dyDescent="0.35">
      <c r="A336" t="s">
        <v>1672</v>
      </c>
      <c r="B336">
        <v>1</v>
      </c>
      <c r="C336" t="s">
        <v>1004</v>
      </c>
      <c r="D336" t="s">
        <v>1673</v>
      </c>
    </row>
    <row r="337" spans="1:4" x14ac:dyDescent="0.35">
      <c r="A337" t="s">
        <v>1674</v>
      </c>
      <c r="B337">
        <v>1</v>
      </c>
      <c r="C337" t="s">
        <v>1004</v>
      </c>
      <c r="D337" t="s">
        <v>1675</v>
      </c>
    </row>
    <row r="338" spans="1:4" x14ac:dyDescent="0.35">
      <c r="A338" t="s">
        <v>1676</v>
      </c>
      <c r="B338">
        <v>1</v>
      </c>
      <c r="C338" t="s">
        <v>1004</v>
      </c>
      <c r="D338" t="s">
        <v>1677</v>
      </c>
    </row>
    <row r="339" spans="1:4" x14ac:dyDescent="0.35">
      <c r="A339" t="s">
        <v>1678</v>
      </c>
      <c r="B339">
        <v>1</v>
      </c>
      <c r="C339" t="s">
        <v>1004</v>
      </c>
      <c r="D339" t="s">
        <v>1679</v>
      </c>
    </row>
    <row r="340" spans="1:4" x14ac:dyDescent="0.35">
      <c r="A340" t="s">
        <v>1680</v>
      </c>
      <c r="B340">
        <v>1</v>
      </c>
      <c r="C340" t="s">
        <v>1004</v>
      </c>
      <c r="D340" t="s">
        <v>1681</v>
      </c>
    </row>
    <row r="341" spans="1:4" x14ac:dyDescent="0.35">
      <c r="A341" t="s">
        <v>1682</v>
      </c>
      <c r="B341">
        <v>1</v>
      </c>
      <c r="C341" t="s">
        <v>1004</v>
      </c>
      <c r="D341" t="s">
        <v>1683</v>
      </c>
    </row>
    <row r="342" spans="1:4" x14ac:dyDescent="0.35">
      <c r="A342" t="s">
        <v>1684</v>
      </c>
      <c r="B342">
        <v>1</v>
      </c>
      <c r="C342" t="s">
        <v>1004</v>
      </c>
      <c r="D342" t="s">
        <v>1685</v>
      </c>
    </row>
    <row r="343" spans="1:4" x14ac:dyDescent="0.35">
      <c r="A343" t="s">
        <v>1686</v>
      </c>
      <c r="B343">
        <v>1</v>
      </c>
      <c r="C343" t="s">
        <v>1004</v>
      </c>
      <c r="D343" t="s">
        <v>1687</v>
      </c>
    </row>
    <row r="344" spans="1:4" x14ac:dyDescent="0.35">
      <c r="A344" t="s">
        <v>1688</v>
      </c>
      <c r="B344">
        <v>1</v>
      </c>
      <c r="C344" t="s">
        <v>1004</v>
      </c>
      <c r="D344" t="s">
        <v>1689</v>
      </c>
    </row>
    <row r="345" spans="1:4" x14ac:dyDescent="0.35">
      <c r="A345" t="s">
        <v>1690</v>
      </c>
      <c r="B345">
        <v>1</v>
      </c>
      <c r="C345" t="s">
        <v>1004</v>
      </c>
      <c r="D345" t="s">
        <v>1691</v>
      </c>
    </row>
    <row r="346" spans="1:4" x14ac:dyDescent="0.35">
      <c r="A346" t="s">
        <v>1692</v>
      </c>
      <c r="B346">
        <v>1</v>
      </c>
      <c r="C346" t="s">
        <v>1004</v>
      </c>
      <c r="D346" t="s">
        <v>1693</v>
      </c>
    </row>
    <row r="347" spans="1:4" x14ac:dyDescent="0.35">
      <c r="A347" t="s">
        <v>1694</v>
      </c>
      <c r="B347">
        <v>1</v>
      </c>
      <c r="C347" t="s">
        <v>1004</v>
      </c>
      <c r="D347" t="s">
        <v>1695</v>
      </c>
    </row>
    <row r="348" spans="1:4" x14ac:dyDescent="0.35">
      <c r="A348" t="s">
        <v>1696</v>
      </c>
      <c r="B348">
        <v>1</v>
      </c>
      <c r="C348" t="s">
        <v>1004</v>
      </c>
      <c r="D348" t="s">
        <v>1697</v>
      </c>
    </row>
    <row r="349" spans="1:4" x14ac:dyDescent="0.35">
      <c r="A349" t="s">
        <v>1698</v>
      </c>
      <c r="B349">
        <v>1</v>
      </c>
      <c r="C349" t="s">
        <v>1004</v>
      </c>
      <c r="D349" t="s">
        <v>1699</v>
      </c>
    </row>
    <row r="350" spans="1:4" x14ac:dyDescent="0.35">
      <c r="A350" t="s">
        <v>1700</v>
      </c>
      <c r="B350">
        <v>1</v>
      </c>
      <c r="C350" t="s">
        <v>1004</v>
      </c>
      <c r="D350" t="s">
        <v>1701</v>
      </c>
    </row>
    <row r="351" spans="1:4" x14ac:dyDescent="0.35">
      <c r="A351" t="s">
        <v>1702</v>
      </c>
      <c r="B351">
        <v>1</v>
      </c>
      <c r="C351" t="s">
        <v>1004</v>
      </c>
      <c r="D351" t="s">
        <v>1703</v>
      </c>
    </row>
    <row r="352" spans="1:4" x14ac:dyDescent="0.35">
      <c r="A352" t="s">
        <v>1704</v>
      </c>
      <c r="B352">
        <v>1</v>
      </c>
      <c r="C352" t="s">
        <v>1004</v>
      </c>
      <c r="D352" t="s">
        <v>1705</v>
      </c>
    </row>
    <row r="353" spans="1:4" x14ac:dyDescent="0.35">
      <c r="A353" t="s">
        <v>1706</v>
      </c>
      <c r="B353">
        <v>1</v>
      </c>
      <c r="C353" t="s">
        <v>1004</v>
      </c>
      <c r="D353" t="s">
        <v>1707</v>
      </c>
    </row>
    <row r="354" spans="1:4" x14ac:dyDescent="0.35">
      <c r="A354" t="s">
        <v>1708</v>
      </c>
      <c r="B354">
        <v>1</v>
      </c>
      <c r="C354" t="s">
        <v>1004</v>
      </c>
      <c r="D354" t="s">
        <v>1709</v>
      </c>
    </row>
    <row r="355" spans="1:4" x14ac:dyDescent="0.35">
      <c r="A355" t="s">
        <v>1710</v>
      </c>
      <c r="B355">
        <v>1</v>
      </c>
      <c r="C355" t="s">
        <v>1004</v>
      </c>
      <c r="D355" t="s">
        <v>1711</v>
      </c>
    </row>
    <row r="356" spans="1:4" x14ac:dyDescent="0.35">
      <c r="A356" t="s">
        <v>1712</v>
      </c>
      <c r="B356">
        <v>1</v>
      </c>
      <c r="C356" t="s">
        <v>1004</v>
      </c>
      <c r="D356" t="s">
        <v>1713</v>
      </c>
    </row>
    <row r="357" spans="1:4" x14ac:dyDescent="0.35">
      <c r="A357" t="s">
        <v>1714</v>
      </c>
      <c r="B357">
        <v>1</v>
      </c>
      <c r="C357" t="s">
        <v>1004</v>
      </c>
      <c r="D357" t="s">
        <v>1715</v>
      </c>
    </row>
    <row r="358" spans="1:4" x14ac:dyDescent="0.35">
      <c r="A358" t="s">
        <v>1716</v>
      </c>
      <c r="B358">
        <v>1</v>
      </c>
      <c r="C358" t="s">
        <v>1004</v>
      </c>
      <c r="D358" t="s">
        <v>1717</v>
      </c>
    </row>
    <row r="359" spans="1:4" x14ac:dyDescent="0.35">
      <c r="A359" t="s">
        <v>1718</v>
      </c>
      <c r="B359">
        <v>1</v>
      </c>
      <c r="C359" t="s">
        <v>1004</v>
      </c>
      <c r="D359" t="s">
        <v>1719</v>
      </c>
    </row>
    <row r="360" spans="1:4" x14ac:dyDescent="0.35">
      <c r="A360" t="s">
        <v>1720</v>
      </c>
      <c r="B360">
        <v>1</v>
      </c>
      <c r="C360" t="s">
        <v>1004</v>
      </c>
      <c r="D360" t="s">
        <v>1721</v>
      </c>
    </row>
    <row r="361" spans="1:4" x14ac:dyDescent="0.35">
      <c r="A361" t="s">
        <v>1722</v>
      </c>
      <c r="B361">
        <v>1</v>
      </c>
      <c r="C361" t="s">
        <v>1004</v>
      </c>
      <c r="D361" t="s">
        <v>1723</v>
      </c>
    </row>
    <row r="362" spans="1:4" x14ac:dyDescent="0.35">
      <c r="A362" t="s">
        <v>1724</v>
      </c>
      <c r="B362">
        <v>1</v>
      </c>
      <c r="C362" t="s">
        <v>1004</v>
      </c>
      <c r="D362" t="s">
        <v>1725</v>
      </c>
    </row>
    <row r="363" spans="1:4" x14ac:dyDescent="0.35">
      <c r="A363" t="s">
        <v>1726</v>
      </c>
      <c r="B363">
        <v>1</v>
      </c>
      <c r="C363" t="s">
        <v>1004</v>
      </c>
      <c r="D363" t="s">
        <v>1727</v>
      </c>
    </row>
    <row r="364" spans="1:4" x14ac:dyDescent="0.35">
      <c r="A364" t="s">
        <v>1728</v>
      </c>
      <c r="B364">
        <v>1</v>
      </c>
      <c r="C364" t="s">
        <v>1004</v>
      </c>
      <c r="D364" t="s">
        <v>1729</v>
      </c>
    </row>
    <row r="365" spans="1:4" x14ac:dyDescent="0.35">
      <c r="A365" t="s">
        <v>1730</v>
      </c>
      <c r="B365">
        <v>1</v>
      </c>
      <c r="C365" t="s">
        <v>1004</v>
      </c>
      <c r="D365" t="s">
        <v>1731</v>
      </c>
    </row>
    <row r="366" spans="1:4" x14ac:dyDescent="0.35">
      <c r="A366" t="s">
        <v>1732</v>
      </c>
      <c r="B366">
        <v>1</v>
      </c>
      <c r="C366" t="s">
        <v>1004</v>
      </c>
      <c r="D366" t="s">
        <v>1733</v>
      </c>
    </row>
    <row r="367" spans="1:4" x14ac:dyDescent="0.35">
      <c r="A367" t="s">
        <v>1734</v>
      </c>
      <c r="B367">
        <v>1</v>
      </c>
      <c r="C367" t="s">
        <v>1004</v>
      </c>
      <c r="D367" t="s">
        <v>1735</v>
      </c>
    </row>
    <row r="368" spans="1:4" x14ac:dyDescent="0.35">
      <c r="A368" t="s">
        <v>1736</v>
      </c>
      <c r="B368">
        <v>1</v>
      </c>
      <c r="C368" t="s">
        <v>1004</v>
      </c>
      <c r="D368" t="s">
        <v>1737</v>
      </c>
    </row>
    <row r="369" spans="1:4" x14ac:dyDescent="0.35">
      <c r="A369" t="s">
        <v>1738</v>
      </c>
      <c r="B369">
        <v>1</v>
      </c>
      <c r="C369" t="s">
        <v>1004</v>
      </c>
      <c r="D369" t="s">
        <v>1739</v>
      </c>
    </row>
    <row r="370" spans="1:4" x14ac:dyDescent="0.35">
      <c r="A370" t="s">
        <v>1740</v>
      </c>
      <c r="B370">
        <v>1</v>
      </c>
      <c r="C370" t="s">
        <v>1004</v>
      </c>
      <c r="D370" t="s">
        <v>1741</v>
      </c>
    </row>
    <row r="371" spans="1:4" x14ac:dyDescent="0.35">
      <c r="A371" t="s">
        <v>1742</v>
      </c>
      <c r="B371">
        <v>1</v>
      </c>
      <c r="C371" t="s">
        <v>1004</v>
      </c>
      <c r="D371" t="s">
        <v>1743</v>
      </c>
    </row>
    <row r="372" spans="1:4" x14ac:dyDescent="0.35">
      <c r="A372" t="s">
        <v>1744</v>
      </c>
      <c r="B372">
        <v>1</v>
      </c>
      <c r="C372" t="s">
        <v>1004</v>
      </c>
      <c r="D372" t="s">
        <v>1745</v>
      </c>
    </row>
    <row r="373" spans="1:4" x14ac:dyDescent="0.35">
      <c r="A373" t="s">
        <v>1746</v>
      </c>
      <c r="B373">
        <v>1</v>
      </c>
      <c r="C373" t="s">
        <v>1004</v>
      </c>
      <c r="D373" t="s">
        <v>1747</v>
      </c>
    </row>
    <row r="374" spans="1:4" x14ac:dyDescent="0.35">
      <c r="A374" t="s">
        <v>1748</v>
      </c>
      <c r="B374">
        <v>1</v>
      </c>
      <c r="C374" t="s">
        <v>1004</v>
      </c>
      <c r="D374" t="s">
        <v>1749</v>
      </c>
    </row>
    <row r="375" spans="1:4" x14ac:dyDescent="0.35">
      <c r="A375" t="s">
        <v>1750</v>
      </c>
      <c r="B375">
        <v>1</v>
      </c>
      <c r="C375" t="s">
        <v>1004</v>
      </c>
      <c r="D375" t="s">
        <v>1751</v>
      </c>
    </row>
    <row r="376" spans="1:4" x14ac:dyDescent="0.35">
      <c r="A376" t="s">
        <v>1752</v>
      </c>
      <c r="B376">
        <v>1</v>
      </c>
      <c r="C376" t="s">
        <v>1004</v>
      </c>
      <c r="D376" t="s">
        <v>1753</v>
      </c>
    </row>
    <row r="377" spans="1:4" x14ac:dyDescent="0.35">
      <c r="A377" t="s">
        <v>1754</v>
      </c>
      <c r="B377">
        <v>1</v>
      </c>
      <c r="C377" t="s">
        <v>1004</v>
      </c>
      <c r="D377" t="s">
        <v>1755</v>
      </c>
    </row>
    <row r="378" spans="1:4" x14ac:dyDescent="0.35">
      <c r="A378" t="s">
        <v>1756</v>
      </c>
      <c r="B378">
        <v>1</v>
      </c>
      <c r="C378" t="s">
        <v>1004</v>
      </c>
      <c r="D378" t="s">
        <v>1757</v>
      </c>
    </row>
    <row r="379" spans="1:4" x14ac:dyDescent="0.35">
      <c r="A379" t="s">
        <v>1758</v>
      </c>
      <c r="B379">
        <v>1</v>
      </c>
      <c r="C379" t="s">
        <v>1004</v>
      </c>
      <c r="D379" t="s">
        <v>1759</v>
      </c>
    </row>
    <row r="380" spans="1:4" x14ac:dyDescent="0.35">
      <c r="A380" t="s">
        <v>1760</v>
      </c>
      <c r="B380">
        <v>1</v>
      </c>
      <c r="C380" t="s">
        <v>1004</v>
      </c>
      <c r="D380" t="s">
        <v>1761</v>
      </c>
    </row>
    <row r="381" spans="1:4" x14ac:dyDescent="0.35">
      <c r="A381" t="s">
        <v>1762</v>
      </c>
      <c r="B381">
        <v>1</v>
      </c>
      <c r="C381" t="s">
        <v>1004</v>
      </c>
      <c r="D381" t="s">
        <v>1763</v>
      </c>
    </row>
    <row r="382" spans="1:4" x14ac:dyDescent="0.35">
      <c r="A382" t="s">
        <v>1764</v>
      </c>
      <c r="B382">
        <v>1</v>
      </c>
      <c r="C382" t="s">
        <v>1004</v>
      </c>
      <c r="D382" t="s">
        <v>1765</v>
      </c>
    </row>
    <row r="383" spans="1:4" x14ac:dyDescent="0.35">
      <c r="A383" t="s">
        <v>1766</v>
      </c>
      <c r="B383">
        <v>1</v>
      </c>
      <c r="C383" t="s">
        <v>1004</v>
      </c>
      <c r="D383" t="s">
        <v>1767</v>
      </c>
    </row>
    <row r="384" spans="1:4" x14ac:dyDescent="0.35">
      <c r="A384" t="s">
        <v>1768</v>
      </c>
      <c r="B384">
        <v>1</v>
      </c>
      <c r="C384" t="s">
        <v>1004</v>
      </c>
      <c r="D384" t="s">
        <v>1769</v>
      </c>
    </row>
    <row r="385" spans="1:4" x14ac:dyDescent="0.35">
      <c r="A385" t="s">
        <v>1770</v>
      </c>
      <c r="B385">
        <v>1</v>
      </c>
      <c r="C385" t="s">
        <v>1004</v>
      </c>
      <c r="D385" t="s">
        <v>1771</v>
      </c>
    </row>
    <row r="386" spans="1:4" x14ac:dyDescent="0.35">
      <c r="A386" t="s">
        <v>1772</v>
      </c>
      <c r="B386">
        <v>1</v>
      </c>
      <c r="C386" t="s">
        <v>1004</v>
      </c>
      <c r="D386" t="s">
        <v>1773</v>
      </c>
    </row>
    <row r="387" spans="1:4" x14ac:dyDescent="0.35">
      <c r="A387" t="s">
        <v>1774</v>
      </c>
      <c r="B387">
        <v>1</v>
      </c>
      <c r="C387" t="s">
        <v>1004</v>
      </c>
      <c r="D387" t="s">
        <v>1775</v>
      </c>
    </row>
    <row r="388" spans="1:4" x14ac:dyDescent="0.35">
      <c r="A388" t="s">
        <v>1776</v>
      </c>
      <c r="B388">
        <v>1</v>
      </c>
      <c r="C388" t="s">
        <v>1004</v>
      </c>
      <c r="D388" t="s">
        <v>1777</v>
      </c>
    </row>
    <row r="389" spans="1:4" x14ac:dyDescent="0.35">
      <c r="A389" t="s">
        <v>1778</v>
      </c>
      <c r="B389">
        <v>1</v>
      </c>
      <c r="C389" t="s">
        <v>1004</v>
      </c>
      <c r="D389" t="s">
        <v>1779</v>
      </c>
    </row>
    <row r="390" spans="1:4" x14ac:dyDescent="0.35">
      <c r="A390" t="s">
        <v>1780</v>
      </c>
      <c r="B390">
        <v>1</v>
      </c>
      <c r="C390" t="s">
        <v>1004</v>
      </c>
      <c r="D390" t="s">
        <v>1781</v>
      </c>
    </row>
    <row r="391" spans="1:4" x14ac:dyDescent="0.35">
      <c r="A391" t="s">
        <v>1782</v>
      </c>
      <c r="B391">
        <v>1</v>
      </c>
      <c r="C391" t="s">
        <v>1004</v>
      </c>
      <c r="D391" t="s">
        <v>1783</v>
      </c>
    </row>
    <row r="392" spans="1:4" x14ac:dyDescent="0.35">
      <c r="A392" t="s">
        <v>1784</v>
      </c>
      <c r="B392">
        <v>1</v>
      </c>
      <c r="C392" t="s">
        <v>1004</v>
      </c>
      <c r="D392" t="s">
        <v>1785</v>
      </c>
    </row>
    <row r="393" spans="1:4" x14ac:dyDescent="0.35">
      <c r="A393" t="s">
        <v>1786</v>
      </c>
      <c r="B393">
        <v>1</v>
      </c>
      <c r="C393" t="s">
        <v>1004</v>
      </c>
      <c r="D393" t="s">
        <v>1787</v>
      </c>
    </row>
    <row r="394" spans="1:4" x14ac:dyDescent="0.35">
      <c r="A394" t="s">
        <v>1788</v>
      </c>
      <c r="B394">
        <v>1</v>
      </c>
      <c r="C394" t="s">
        <v>1004</v>
      </c>
      <c r="D394" t="s">
        <v>1789</v>
      </c>
    </row>
    <row r="395" spans="1:4" x14ac:dyDescent="0.35">
      <c r="A395" t="s">
        <v>1790</v>
      </c>
      <c r="B395">
        <v>1</v>
      </c>
      <c r="C395" t="s">
        <v>1004</v>
      </c>
      <c r="D395" t="s">
        <v>1791</v>
      </c>
    </row>
    <row r="396" spans="1:4" x14ac:dyDescent="0.35">
      <c r="A396" t="s">
        <v>1792</v>
      </c>
      <c r="B396">
        <v>1</v>
      </c>
      <c r="C396" t="s">
        <v>1004</v>
      </c>
      <c r="D396" t="s">
        <v>1793</v>
      </c>
    </row>
    <row r="397" spans="1:4" x14ac:dyDescent="0.35">
      <c r="A397" t="s">
        <v>1794</v>
      </c>
      <c r="B397">
        <v>1</v>
      </c>
      <c r="C397" t="s">
        <v>1004</v>
      </c>
      <c r="D397" t="s">
        <v>1795</v>
      </c>
    </row>
    <row r="398" spans="1:4" x14ac:dyDescent="0.35">
      <c r="A398" t="s">
        <v>1796</v>
      </c>
      <c r="B398">
        <v>1</v>
      </c>
      <c r="C398" t="s">
        <v>1004</v>
      </c>
      <c r="D398" t="s">
        <v>1797</v>
      </c>
    </row>
    <row r="399" spans="1:4" x14ac:dyDescent="0.35">
      <c r="A399" t="s">
        <v>1798</v>
      </c>
      <c r="B399">
        <v>1</v>
      </c>
      <c r="C399" t="s">
        <v>1004</v>
      </c>
      <c r="D399" t="s">
        <v>1799</v>
      </c>
    </row>
    <row r="400" spans="1:4" x14ac:dyDescent="0.35">
      <c r="A400" t="s">
        <v>1800</v>
      </c>
      <c r="B400">
        <v>1</v>
      </c>
      <c r="C400" t="s">
        <v>1004</v>
      </c>
      <c r="D400" t="s">
        <v>1801</v>
      </c>
    </row>
    <row r="401" spans="1:4" x14ac:dyDescent="0.35">
      <c r="A401" t="s">
        <v>1802</v>
      </c>
      <c r="B401">
        <v>1</v>
      </c>
      <c r="C401" t="s">
        <v>1004</v>
      </c>
      <c r="D401" t="s">
        <v>1803</v>
      </c>
    </row>
  </sheetData>
  <sheetProtection algorithmName="SHA-512" hashValue="vdcpXPrILWfTSviRky7+L7AZlChbvH9ryJnyjDrY4C+L3YgnprCbBPKxiUjH1EWmrtlRsAip1aU9u0wGBmxZHg==" saltValue="1J+irnwdyATxqqXDsaVBWQ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43"/>
  <sheetViews>
    <sheetView topLeftCell="B16" zoomScale="60" zoomScaleNormal="60" workbookViewId="0">
      <selection activeCell="T41" sqref="T41"/>
    </sheetView>
  </sheetViews>
  <sheetFormatPr defaultColWidth="27.453125" defaultRowHeight="23" x14ac:dyDescent="0.35"/>
  <cols>
    <col min="1" max="1" width="43.1796875" style="371" customWidth="1"/>
    <col min="2" max="3" width="27.453125" style="371"/>
    <col min="4" max="4" width="32.453125" style="371" customWidth="1"/>
    <col min="5" max="5" width="27.453125" style="371"/>
    <col min="6" max="6" width="27.453125" style="372"/>
    <col min="7" max="9" width="11.453125" style="283" customWidth="1"/>
    <col min="10" max="12" width="14.1796875" style="373" customWidth="1"/>
    <col min="13" max="14" width="15.54296875" style="370" customWidth="1"/>
    <col min="15" max="17" width="16.453125" style="358" customWidth="1"/>
    <col min="18" max="18" width="43.453125" style="360" customWidth="1"/>
    <col min="19" max="16384" width="27.453125" style="283"/>
  </cols>
  <sheetData>
    <row r="1" spans="1:18" s="354" customFormat="1" ht="50.25" customHeight="1" x14ac:dyDescent="0.35">
      <c r="A1" s="351" t="s">
        <v>899</v>
      </c>
      <c r="B1" s="352"/>
      <c r="C1" s="352"/>
      <c r="D1" s="352"/>
      <c r="E1" s="352"/>
      <c r="F1" s="353"/>
      <c r="G1" s="653" t="s">
        <v>989</v>
      </c>
      <c r="H1" s="654"/>
      <c r="I1" s="655"/>
      <c r="J1" s="653" t="s">
        <v>1816</v>
      </c>
      <c r="K1" s="654"/>
      <c r="L1" s="655"/>
      <c r="M1" s="656" t="s">
        <v>1965</v>
      </c>
      <c r="N1" s="670"/>
      <c r="O1" s="671" t="s">
        <v>2036</v>
      </c>
      <c r="P1" s="671"/>
      <c r="Q1" s="671"/>
      <c r="R1" s="604"/>
    </row>
    <row r="2" spans="1:18" ht="37.5" customHeight="1" x14ac:dyDescent="0.35">
      <c r="A2" s="356" t="s">
        <v>1</v>
      </c>
      <c r="B2" s="357" t="s">
        <v>2</v>
      </c>
      <c r="C2" s="374" t="s">
        <v>3</v>
      </c>
      <c r="D2" s="374" t="s">
        <v>913</v>
      </c>
      <c r="E2" s="374" t="s">
        <v>4</v>
      </c>
      <c r="F2" s="375" t="s">
        <v>5</v>
      </c>
      <c r="G2" s="376" t="s">
        <v>990</v>
      </c>
      <c r="H2" s="376" t="s">
        <v>991</v>
      </c>
      <c r="I2" s="376" t="s">
        <v>992</v>
      </c>
      <c r="J2" s="377" t="s">
        <v>990</v>
      </c>
      <c r="K2" s="376" t="s">
        <v>991</v>
      </c>
      <c r="L2" s="378" t="s">
        <v>1958</v>
      </c>
      <c r="M2" s="379" t="s">
        <v>1960</v>
      </c>
      <c r="N2" s="379" t="s">
        <v>1959</v>
      </c>
      <c r="O2" s="515" t="s">
        <v>990</v>
      </c>
      <c r="P2" s="515" t="s">
        <v>991</v>
      </c>
      <c r="Q2" s="515" t="s">
        <v>1958</v>
      </c>
      <c r="R2" s="459" t="s">
        <v>2037</v>
      </c>
    </row>
    <row r="3" spans="1:18" ht="29.25" customHeight="1" x14ac:dyDescent="0.35">
      <c r="A3" s="359" t="s">
        <v>414</v>
      </c>
      <c r="B3" s="360" t="s">
        <v>74</v>
      </c>
      <c r="C3" s="381" t="s">
        <v>457</v>
      </c>
      <c r="D3" s="382" t="s">
        <v>919</v>
      </c>
      <c r="E3" s="620" t="s">
        <v>458</v>
      </c>
      <c r="F3" s="399"/>
      <c r="G3" s="388">
        <v>2</v>
      </c>
      <c r="H3" s="387">
        <v>4</v>
      </c>
      <c r="I3" s="389">
        <v>4</v>
      </c>
      <c r="J3" s="384">
        <v>0.6</v>
      </c>
      <c r="K3" s="385">
        <v>0.61111111111111105</v>
      </c>
      <c r="L3" s="386">
        <v>0.625</v>
      </c>
      <c r="M3" s="489">
        <v>32.410225197808863</v>
      </c>
      <c r="N3" s="601">
        <v>3.9594536743251574</v>
      </c>
      <c r="O3" s="607">
        <v>0.28000000000000003</v>
      </c>
      <c r="P3" s="608">
        <v>0.43</v>
      </c>
      <c r="Q3" s="609">
        <v>0.54</v>
      </c>
      <c r="R3" s="605"/>
    </row>
    <row r="4" spans="1:18" ht="19.399999999999999" customHeight="1" x14ac:dyDescent="0.35">
      <c r="A4" s="359" t="s">
        <v>414</v>
      </c>
      <c r="B4" s="360" t="s">
        <v>149</v>
      </c>
      <c r="C4" s="381" t="s">
        <v>507</v>
      </c>
      <c r="D4" s="382" t="s">
        <v>919</v>
      </c>
      <c r="E4" s="620" t="s">
        <v>508</v>
      </c>
      <c r="F4" s="399"/>
      <c r="G4" s="388">
        <v>4</v>
      </c>
      <c r="H4" s="387">
        <v>4</v>
      </c>
      <c r="I4" s="389">
        <v>4</v>
      </c>
      <c r="J4" s="384">
        <v>0.52631578947368429</v>
      </c>
      <c r="K4" s="385">
        <v>0.5</v>
      </c>
      <c r="L4" s="386">
        <v>0.5</v>
      </c>
      <c r="M4" s="491">
        <v>4.7353760445682509</v>
      </c>
      <c r="N4" s="492">
        <v>1.1817940632644248</v>
      </c>
      <c r="O4" s="610">
        <v>0.96</v>
      </c>
      <c r="P4" s="611">
        <v>0.94</v>
      </c>
      <c r="Q4" s="612">
        <v>1</v>
      </c>
      <c r="R4" s="605">
        <v>1</v>
      </c>
    </row>
    <row r="5" spans="1:18" ht="19.399999999999999" customHeight="1" x14ac:dyDescent="0.35">
      <c r="A5" s="359" t="s">
        <v>736</v>
      </c>
      <c r="B5" s="360" t="s">
        <v>83</v>
      </c>
      <c r="C5" s="381" t="s">
        <v>785</v>
      </c>
      <c r="D5" s="382" t="s">
        <v>919</v>
      </c>
      <c r="E5" s="620" t="s">
        <v>786</v>
      </c>
      <c r="F5" s="399"/>
      <c r="G5" s="388">
        <v>0</v>
      </c>
      <c r="H5" s="387">
        <v>2</v>
      </c>
      <c r="I5" s="389">
        <v>4</v>
      </c>
      <c r="J5" s="384">
        <v>0.75</v>
      </c>
      <c r="K5" s="385">
        <v>0.72222222222222232</v>
      </c>
      <c r="L5" s="386">
        <v>0.75</v>
      </c>
      <c r="M5" s="489">
        <v>46.774193548387082</v>
      </c>
      <c r="N5" s="602">
        <v>12.222661342482013</v>
      </c>
      <c r="O5" s="610">
        <v>0.02</v>
      </c>
      <c r="P5" s="611">
        <v>0</v>
      </c>
      <c r="Q5" s="612">
        <v>0</v>
      </c>
      <c r="R5" s="605"/>
    </row>
    <row r="6" spans="1:18" ht="19.399999999999999" customHeight="1" x14ac:dyDescent="0.35">
      <c r="A6" s="359" t="s">
        <v>736</v>
      </c>
      <c r="B6" s="360" t="s">
        <v>209</v>
      </c>
      <c r="C6" s="381" t="s">
        <v>869</v>
      </c>
      <c r="D6" s="382" t="s">
        <v>919</v>
      </c>
      <c r="E6" s="620" t="s">
        <v>870</v>
      </c>
      <c r="F6" s="399"/>
      <c r="G6" s="388">
        <v>1</v>
      </c>
      <c r="H6" s="387">
        <v>4</v>
      </c>
      <c r="I6" s="389">
        <v>4</v>
      </c>
      <c r="J6" s="384">
        <v>0</v>
      </c>
      <c r="K6" s="385">
        <v>0.1891891891891892</v>
      </c>
      <c r="L6" s="386">
        <v>0.69696969696969691</v>
      </c>
      <c r="M6" s="491">
        <v>20.668523676880227</v>
      </c>
      <c r="N6" s="492">
        <v>7.0119781087022526</v>
      </c>
      <c r="O6" s="610"/>
      <c r="P6" s="611"/>
      <c r="Q6" s="612"/>
      <c r="R6" s="605"/>
    </row>
    <row r="7" spans="1:18" ht="19.399999999999999" customHeight="1" x14ac:dyDescent="0.35">
      <c r="A7" s="359" t="s">
        <v>251</v>
      </c>
      <c r="B7" s="360" t="s">
        <v>242</v>
      </c>
      <c r="C7" s="381" t="s">
        <v>408</v>
      </c>
      <c r="D7" s="382" t="s">
        <v>918</v>
      </c>
      <c r="E7" s="620" t="s">
        <v>409</v>
      </c>
      <c r="F7" s="399"/>
      <c r="G7" s="388">
        <v>2</v>
      </c>
      <c r="H7" s="387">
        <v>4</v>
      </c>
      <c r="I7" s="389">
        <v>4</v>
      </c>
      <c r="J7" s="384">
        <v>0.95454545454545459</v>
      </c>
      <c r="K7" s="385">
        <v>0.85</v>
      </c>
      <c r="L7" s="386">
        <v>1</v>
      </c>
      <c r="M7" s="491">
        <v>29.461199443180117</v>
      </c>
      <c r="N7" s="492">
        <v>1.7298514589816774</v>
      </c>
      <c r="O7" s="610">
        <v>0.5</v>
      </c>
      <c r="P7" s="611">
        <v>0.64</v>
      </c>
      <c r="Q7" s="612">
        <v>0.59</v>
      </c>
      <c r="R7" s="605"/>
    </row>
    <row r="8" spans="1:18" ht="19.399999999999999" customHeight="1" x14ac:dyDescent="0.35">
      <c r="A8" s="364" t="s">
        <v>575</v>
      </c>
      <c r="B8" s="365" t="s">
        <v>56</v>
      </c>
      <c r="C8" s="387" t="s">
        <v>606</v>
      </c>
      <c r="D8" s="382" t="s">
        <v>918</v>
      </c>
      <c r="E8" s="620" t="s">
        <v>607</v>
      </c>
      <c r="F8" s="399"/>
      <c r="G8" s="388">
        <v>0</v>
      </c>
      <c r="H8" s="387">
        <v>2</v>
      </c>
      <c r="I8" s="389">
        <v>4</v>
      </c>
      <c r="J8" s="384">
        <v>0.6</v>
      </c>
      <c r="K8" s="385">
        <v>0.78378378378378388</v>
      </c>
      <c r="L8" s="386">
        <v>0.93939393939393934</v>
      </c>
      <c r="M8" s="491">
        <v>19.210268556247851</v>
      </c>
      <c r="N8" s="492">
        <v>11.833605690840699</v>
      </c>
      <c r="O8" s="610">
        <v>0.76</v>
      </c>
      <c r="P8" s="611">
        <v>0.9</v>
      </c>
      <c r="Q8" s="612">
        <v>0.91</v>
      </c>
      <c r="R8" s="605">
        <v>1</v>
      </c>
    </row>
    <row r="9" spans="1:18" ht="19.399999999999999" customHeight="1" x14ac:dyDescent="0.35">
      <c r="A9" s="359" t="s">
        <v>575</v>
      </c>
      <c r="B9" s="360" t="s">
        <v>86</v>
      </c>
      <c r="C9" s="381" t="s">
        <v>626</v>
      </c>
      <c r="D9" s="382" t="s">
        <v>918</v>
      </c>
      <c r="E9" s="620" t="s">
        <v>627</v>
      </c>
      <c r="F9" s="399"/>
      <c r="G9" s="388">
        <v>2</v>
      </c>
      <c r="H9" s="387">
        <v>3</v>
      </c>
      <c r="I9" s="389">
        <v>3</v>
      </c>
      <c r="J9" s="384">
        <v>0.44999999999999996</v>
      </c>
      <c r="K9" s="385">
        <v>0.56756756756756754</v>
      </c>
      <c r="L9" s="386">
        <v>0.51515151515151514</v>
      </c>
      <c r="M9" s="491">
        <v>4.5462804707815074</v>
      </c>
      <c r="N9" s="492">
        <v>8.1806273278960759</v>
      </c>
      <c r="O9" s="610"/>
      <c r="P9" s="611"/>
      <c r="Q9" s="612"/>
      <c r="R9" s="605"/>
    </row>
    <row r="10" spans="1:18" ht="19.399999999999999" customHeight="1" x14ac:dyDescent="0.35">
      <c r="A10" s="364" t="s">
        <v>575</v>
      </c>
      <c r="B10" s="365" t="s">
        <v>128</v>
      </c>
      <c r="C10" s="387" t="s">
        <v>654</v>
      </c>
      <c r="D10" s="382" t="s">
        <v>918</v>
      </c>
      <c r="E10" s="620" t="s">
        <v>655</v>
      </c>
      <c r="F10" s="399"/>
      <c r="G10" s="388">
        <v>2</v>
      </c>
      <c r="H10" s="387">
        <v>4</v>
      </c>
      <c r="I10" s="389">
        <v>4</v>
      </c>
      <c r="J10" s="384">
        <v>0.8</v>
      </c>
      <c r="K10" s="385">
        <v>0.94594594594594594</v>
      </c>
      <c r="L10" s="386">
        <v>1</v>
      </c>
      <c r="M10" s="491">
        <v>3.6663539026807213</v>
      </c>
      <c r="N10" s="492">
        <v>3.9981975368440703</v>
      </c>
      <c r="O10" s="610">
        <v>0.23</v>
      </c>
      <c r="P10" s="611">
        <v>0.39</v>
      </c>
      <c r="Q10" s="612">
        <v>0.42</v>
      </c>
      <c r="R10" s="605"/>
    </row>
    <row r="11" spans="1:18" ht="19.399999999999999" customHeight="1" x14ac:dyDescent="0.35">
      <c r="A11" s="359" t="s">
        <v>575</v>
      </c>
      <c r="B11" s="360" t="s">
        <v>131</v>
      </c>
      <c r="C11" s="381" t="s">
        <v>656</v>
      </c>
      <c r="D11" s="382" t="s">
        <v>918</v>
      </c>
      <c r="E11" s="620" t="s">
        <v>657</v>
      </c>
      <c r="F11" s="399"/>
      <c r="G11" s="388">
        <v>4</v>
      </c>
      <c r="H11" s="387">
        <v>4</v>
      </c>
      <c r="I11" s="389">
        <v>4</v>
      </c>
      <c r="J11" s="384">
        <v>0.56756756756756754</v>
      </c>
      <c r="K11" s="385">
        <v>0.77777777777777768</v>
      </c>
      <c r="L11" s="386">
        <v>0.75</v>
      </c>
      <c r="M11" s="489">
        <v>41.052951917224576</v>
      </c>
      <c r="N11" s="602">
        <v>19.45296805211931</v>
      </c>
      <c r="O11" s="610">
        <v>0.34</v>
      </c>
      <c r="P11" s="611">
        <v>0.38</v>
      </c>
      <c r="Q11" s="612">
        <v>0.39</v>
      </c>
      <c r="R11" s="605"/>
    </row>
    <row r="12" spans="1:18" ht="19.399999999999999" customHeight="1" x14ac:dyDescent="0.35">
      <c r="A12" s="364" t="s">
        <v>575</v>
      </c>
      <c r="B12" s="365" t="s">
        <v>224</v>
      </c>
      <c r="C12" s="387" t="s">
        <v>718</v>
      </c>
      <c r="D12" s="382" t="s">
        <v>918</v>
      </c>
      <c r="E12" s="620" t="s">
        <v>719</v>
      </c>
      <c r="F12" s="399"/>
      <c r="G12" s="388">
        <v>2</v>
      </c>
      <c r="H12" s="387">
        <v>4</v>
      </c>
      <c r="I12" s="389">
        <v>4</v>
      </c>
      <c r="J12" s="384">
        <v>0.72972972972972971</v>
      </c>
      <c r="K12" s="385">
        <v>0.77777777777777768</v>
      </c>
      <c r="L12" s="386">
        <v>0.9375</v>
      </c>
      <c r="M12" s="491">
        <v>7.6982970235486459</v>
      </c>
      <c r="N12" s="492">
        <v>8.7180386968552845</v>
      </c>
      <c r="O12" s="610">
        <v>0.5</v>
      </c>
      <c r="P12" s="611">
        <v>0.81</v>
      </c>
      <c r="Q12" s="612">
        <v>0.91</v>
      </c>
      <c r="R12" s="605">
        <v>1</v>
      </c>
    </row>
    <row r="13" spans="1:18" ht="19.399999999999999" customHeight="1" x14ac:dyDescent="0.35">
      <c r="A13" s="364" t="s">
        <v>9</v>
      </c>
      <c r="B13" s="365" t="s">
        <v>19</v>
      </c>
      <c r="C13" s="387" t="s">
        <v>20</v>
      </c>
      <c r="D13" s="382" t="s">
        <v>993</v>
      </c>
      <c r="E13" s="620" t="s">
        <v>21</v>
      </c>
      <c r="F13" s="399" t="s">
        <v>22</v>
      </c>
      <c r="G13" s="388">
        <v>2</v>
      </c>
      <c r="H13" s="387">
        <v>4</v>
      </c>
      <c r="I13" s="389">
        <v>4</v>
      </c>
      <c r="J13" s="384">
        <v>0.31818181818181829</v>
      </c>
      <c r="K13" s="385">
        <v>0.8</v>
      </c>
      <c r="L13" s="386">
        <v>0.94545454545454544</v>
      </c>
      <c r="M13" s="491">
        <v>7.2266870356711905</v>
      </c>
      <c r="N13" s="492">
        <v>3.6910076203581874</v>
      </c>
      <c r="O13" s="610"/>
      <c r="P13" s="611"/>
      <c r="Q13" s="612"/>
      <c r="R13" s="605"/>
    </row>
    <row r="14" spans="1:18" ht="19.399999999999999" customHeight="1" x14ac:dyDescent="0.35">
      <c r="A14" s="364" t="s">
        <v>251</v>
      </c>
      <c r="B14" s="365" t="s">
        <v>53</v>
      </c>
      <c r="C14" s="387" t="s">
        <v>280</v>
      </c>
      <c r="D14" s="382" t="s">
        <v>993</v>
      </c>
      <c r="E14" s="620" t="s">
        <v>281</v>
      </c>
      <c r="F14" s="399" t="s">
        <v>282</v>
      </c>
      <c r="G14" s="388">
        <v>4</v>
      </c>
      <c r="H14" s="387">
        <v>4</v>
      </c>
      <c r="I14" s="389">
        <v>4</v>
      </c>
      <c r="J14" s="384">
        <v>1</v>
      </c>
      <c r="K14" s="385">
        <v>1</v>
      </c>
      <c r="L14" s="386">
        <v>1</v>
      </c>
      <c r="M14" s="492">
        <v>16.589439773976157</v>
      </c>
      <c r="N14" s="492">
        <v>0.22407407633284246</v>
      </c>
      <c r="O14" s="610">
        <v>0.75</v>
      </c>
      <c r="P14" s="611">
        <v>0.86</v>
      </c>
      <c r="Q14" s="612">
        <v>0.86</v>
      </c>
      <c r="R14" s="605">
        <v>1</v>
      </c>
    </row>
    <row r="15" spans="1:18" ht="19.399999999999999" customHeight="1" x14ac:dyDescent="0.35">
      <c r="A15" s="359" t="s">
        <v>251</v>
      </c>
      <c r="B15" s="360" t="s">
        <v>224</v>
      </c>
      <c r="C15" s="381" t="s">
        <v>395</v>
      </c>
      <c r="D15" s="382" t="s">
        <v>993</v>
      </c>
      <c r="E15" s="620" t="s">
        <v>396</v>
      </c>
      <c r="F15" s="399" t="s">
        <v>397</v>
      </c>
      <c r="G15" s="388">
        <v>4</v>
      </c>
      <c r="H15" s="387">
        <v>4</v>
      </c>
      <c r="I15" s="389">
        <v>4</v>
      </c>
      <c r="J15" s="384">
        <v>0.95454545454545459</v>
      </c>
      <c r="K15" s="385">
        <v>1</v>
      </c>
      <c r="L15" s="386">
        <v>1</v>
      </c>
      <c r="M15" s="491">
        <v>-0.13881692022203773</v>
      </c>
      <c r="N15" s="492">
        <v>1.683435418541013</v>
      </c>
      <c r="O15" s="610">
        <v>0.5</v>
      </c>
      <c r="P15" s="611">
        <v>0.54</v>
      </c>
      <c r="Q15" s="612">
        <v>0.77</v>
      </c>
      <c r="R15" s="605">
        <v>1</v>
      </c>
    </row>
    <row r="16" spans="1:18" ht="19.399999999999999" customHeight="1" x14ac:dyDescent="0.35">
      <c r="A16" s="364" t="s">
        <v>251</v>
      </c>
      <c r="B16" s="365" t="s">
        <v>38</v>
      </c>
      <c r="C16" s="387" t="s">
        <v>270</v>
      </c>
      <c r="D16" s="390" t="s">
        <v>915</v>
      </c>
      <c r="E16" s="620" t="s">
        <v>271</v>
      </c>
      <c r="F16" s="399"/>
      <c r="G16" s="388">
        <v>4</v>
      </c>
      <c r="H16" s="387">
        <v>4</v>
      </c>
      <c r="I16" s="389">
        <v>4</v>
      </c>
      <c r="J16" s="384">
        <v>1</v>
      </c>
      <c r="K16" s="385">
        <v>1</v>
      </c>
      <c r="L16" s="386">
        <v>1</v>
      </c>
      <c r="M16" s="491">
        <v>-7.9569400263903507</v>
      </c>
      <c r="N16" s="492">
        <v>2.4939671903640717</v>
      </c>
      <c r="O16" s="610">
        <v>1</v>
      </c>
      <c r="P16" s="611">
        <v>1</v>
      </c>
      <c r="Q16" s="612">
        <v>1</v>
      </c>
      <c r="R16" s="605">
        <v>1</v>
      </c>
    </row>
    <row r="17" spans="1:18" ht="19.399999999999999" customHeight="1" x14ac:dyDescent="0.35">
      <c r="A17" s="364" t="s">
        <v>251</v>
      </c>
      <c r="B17" s="365" t="s">
        <v>98</v>
      </c>
      <c r="C17" s="387" t="s">
        <v>311</v>
      </c>
      <c r="D17" s="390" t="s">
        <v>915</v>
      </c>
      <c r="E17" s="620" t="s">
        <v>312</v>
      </c>
      <c r="F17" s="399"/>
      <c r="G17" s="388">
        <v>4</v>
      </c>
      <c r="H17" s="387">
        <v>4</v>
      </c>
      <c r="I17" s="389">
        <v>4</v>
      </c>
      <c r="J17" s="384">
        <v>1</v>
      </c>
      <c r="K17" s="385">
        <v>1</v>
      </c>
      <c r="L17" s="386">
        <v>1</v>
      </c>
      <c r="M17" s="491">
        <v>-5.8286822877196869</v>
      </c>
      <c r="N17" s="492">
        <v>4.9234391643147513</v>
      </c>
      <c r="O17" s="610">
        <v>1</v>
      </c>
      <c r="P17" s="611">
        <v>1</v>
      </c>
      <c r="Q17" s="612">
        <v>1</v>
      </c>
      <c r="R17" s="605">
        <v>1</v>
      </c>
    </row>
    <row r="18" spans="1:18" ht="19.399999999999999" customHeight="1" x14ac:dyDescent="0.35">
      <c r="A18" s="364" t="s">
        <v>251</v>
      </c>
      <c r="B18" s="365" t="s">
        <v>128</v>
      </c>
      <c r="C18" s="387" t="s">
        <v>331</v>
      </c>
      <c r="D18" s="390" t="s">
        <v>915</v>
      </c>
      <c r="E18" s="620" t="s">
        <v>332</v>
      </c>
      <c r="F18" s="399"/>
      <c r="G18" s="388">
        <v>4</v>
      </c>
      <c r="H18" s="387">
        <v>4</v>
      </c>
      <c r="I18" s="389">
        <v>4</v>
      </c>
      <c r="J18" s="384">
        <v>1</v>
      </c>
      <c r="K18" s="385">
        <v>1</v>
      </c>
      <c r="L18" s="386">
        <v>1</v>
      </c>
      <c r="M18" s="491">
        <v>-3.3953805593498441</v>
      </c>
      <c r="N18" s="492">
        <v>3.7219355954981732</v>
      </c>
      <c r="O18" s="610">
        <v>0.32</v>
      </c>
      <c r="P18" s="611">
        <v>0.32</v>
      </c>
      <c r="Q18" s="612">
        <v>0.48</v>
      </c>
      <c r="R18" s="605"/>
    </row>
    <row r="19" spans="1:18" ht="19.399999999999999" customHeight="1" x14ac:dyDescent="0.35">
      <c r="A19" s="364" t="s">
        <v>251</v>
      </c>
      <c r="B19" s="365" t="s">
        <v>215</v>
      </c>
      <c r="C19" s="387" t="s">
        <v>389</v>
      </c>
      <c r="D19" s="390" t="s">
        <v>915</v>
      </c>
      <c r="E19" s="620" t="s">
        <v>390</v>
      </c>
      <c r="F19" s="399"/>
      <c r="G19" s="388">
        <v>3</v>
      </c>
      <c r="H19" s="387">
        <v>4</v>
      </c>
      <c r="I19" s="389">
        <v>4</v>
      </c>
      <c r="J19" s="384">
        <v>1</v>
      </c>
      <c r="K19" s="385">
        <v>1</v>
      </c>
      <c r="L19" s="386">
        <v>1</v>
      </c>
      <c r="M19" s="492">
        <v>6.433975848314752</v>
      </c>
      <c r="N19" s="492">
        <v>3.2593548751198669</v>
      </c>
      <c r="O19" s="610">
        <v>0.54</v>
      </c>
      <c r="P19" s="611">
        <v>0.68</v>
      </c>
      <c r="Q19" s="612">
        <v>0.68</v>
      </c>
      <c r="R19" s="605"/>
    </row>
    <row r="20" spans="1:18" ht="19.399999999999999" customHeight="1" x14ac:dyDescent="0.35">
      <c r="A20" s="364" t="s">
        <v>575</v>
      </c>
      <c r="B20" s="365" t="s">
        <v>29</v>
      </c>
      <c r="C20" s="387" t="s">
        <v>588</v>
      </c>
      <c r="D20" s="390" t="s">
        <v>915</v>
      </c>
      <c r="E20" s="620" t="s">
        <v>589</v>
      </c>
      <c r="F20" s="399"/>
      <c r="G20" s="388">
        <v>0</v>
      </c>
      <c r="H20" s="387">
        <v>0</v>
      </c>
      <c r="I20" s="389">
        <v>2</v>
      </c>
      <c r="J20" s="384">
        <v>0.6</v>
      </c>
      <c r="K20" s="385">
        <v>1</v>
      </c>
      <c r="L20" s="386">
        <v>1</v>
      </c>
      <c r="M20" s="491">
        <v>3.0639790308775834</v>
      </c>
      <c r="N20" s="492">
        <v>8.4762410732986595</v>
      </c>
      <c r="O20" s="610">
        <v>0.42</v>
      </c>
      <c r="P20" s="611">
        <v>0.96</v>
      </c>
      <c r="Q20" s="612">
        <v>0.98</v>
      </c>
      <c r="R20" s="605">
        <v>1</v>
      </c>
    </row>
    <row r="21" spans="1:18" ht="19.399999999999999" customHeight="1" x14ac:dyDescent="0.35">
      <c r="A21" s="359" t="s">
        <v>251</v>
      </c>
      <c r="B21" s="360" t="s">
        <v>170</v>
      </c>
      <c r="C21" s="381" t="s">
        <v>359</v>
      </c>
      <c r="D21" s="382" t="s">
        <v>921</v>
      </c>
      <c r="E21" s="620" t="s">
        <v>360</v>
      </c>
      <c r="F21" s="399" t="s">
        <v>922</v>
      </c>
      <c r="G21" s="388">
        <v>2</v>
      </c>
      <c r="H21" s="387">
        <v>4</v>
      </c>
      <c r="I21" s="389">
        <v>4</v>
      </c>
      <c r="J21" s="384">
        <v>0.9</v>
      </c>
      <c r="K21" s="385">
        <v>1</v>
      </c>
      <c r="L21" s="386">
        <v>1</v>
      </c>
      <c r="M21" s="489">
        <v>46.591600730371269</v>
      </c>
      <c r="N21" s="602">
        <v>30.38450319645175</v>
      </c>
      <c r="O21" s="610">
        <v>0</v>
      </c>
      <c r="P21" s="611">
        <v>0.03</v>
      </c>
      <c r="Q21" s="612">
        <v>0.27</v>
      </c>
      <c r="R21" s="605"/>
    </row>
    <row r="22" spans="1:18" ht="19.399999999999999" customHeight="1" x14ac:dyDescent="0.35">
      <c r="A22" s="364" t="s">
        <v>9</v>
      </c>
      <c r="B22" s="365" t="s">
        <v>65</v>
      </c>
      <c r="C22" s="387" t="s">
        <v>66</v>
      </c>
      <c r="D22" s="382" t="s">
        <v>916</v>
      </c>
      <c r="E22" s="620" t="s">
        <v>67</v>
      </c>
      <c r="F22" s="399"/>
      <c r="G22" s="388">
        <v>0</v>
      </c>
      <c r="H22" s="387">
        <v>4</v>
      </c>
      <c r="I22" s="389">
        <v>4</v>
      </c>
      <c r="J22" s="384">
        <v>9.0909090909090939E-2</v>
      </c>
      <c r="K22" s="385">
        <v>0.25</v>
      </c>
      <c r="L22" s="386">
        <v>0.94545454545454544</v>
      </c>
      <c r="M22" s="491">
        <v>-9.9835436950806073</v>
      </c>
      <c r="N22" s="492">
        <v>3.7393138124899865</v>
      </c>
      <c r="O22" s="610"/>
      <c r="P22" s="611"/>
      <c r="Q22" s="612"/>
      <c r="R22" s="605"/>
    </row>
    <row r="23" spans="1:18" ht="19.399999999999999" customHeight="1" x14ac:dyDescent="0.35">
      <c r="A23" s="364" t="s">
        <v>9</v>
      </c>
      <c r="B23" s="365" t="s">
        <v>68</v>
      </c>
      <c r="C23" s="387" t="s">
        <v>69</v>
      </c>
      <c r="D23" s="382" t="s">
        <v>916</v>
      </c>
      <c r="E23" s="620" t="s">
        <v>70</v>
      </c>
      <c r="F23" s="399"/>
      <c r="G23" s="388">
        <v>0</v>
      </c>
      <c r="H23" s="387">
        <v>1</v>
      </c>
      <c r="I23" s="389">
        <v>3</v>
      </c>
      <c r="J23" s="384">
        <v>0.27272727272727265</v>
      </c>
      <c r="K23" s="385">
        <v>0.95</v>
      </c>
      <c r="L23" s="386">
        <v>1</v>
      </c>
      <c r="M23" s="491">
        <v>-1.1284661539227101</v>
      </c>
      <c r="N23" s="492">
        <v>3.939661287022985</v>
      </c>
      <c r="O23" s="610"/>
      <c r="P23" s="611"/>
      <c r="Q23" s="612"/>
      <c r="R23" s="605"/>
    </row>
    <row r="24" spans="1:18" ht="19.399999999999999" customHeight="1" x14ac:dyDescent="0.35">
      <c r="A24" s="359" t="s">
        <v>9</v>
      </c>
      <c r="B24" s="360" t="s">
        <v>107</v>
      </c>
      <c r="C24" s="381" t="s">
        <v>108</v>
      </c>
      <c r="D24" s="382" t="s">
        <v>916</v>
      </c>
      <c r="E24" s="620" t="s">
        <v>109</v>
      </c>
      <c r="F24" s="399"/>
      <c r="G24" s="388">
        <v>1</v>
      </c>
      <c r="H24" s="387">
        <v>4</v>
      </c>
      <c r="I24" s="389">
        <v>4</v>
      </c>
      <c r="J24" s="384">
        <v>0.27272727272727265</v>
      </c>
      <c r="K24" s="385">
        <v>0.65</v>
      </c>
      <c r="L24" s="386">
        <v>0.67272727272727328</v>
      </c>
      <c r="M24" s="491">
        <v>12.879065650150434</v>
      </c>
      <c r="N24" s="492">
        <v>10.078892538423753</v>
      </c>
      <c r="O24" s="610"/>
      <c r="P24" s="611"/>
      <c r="Q24" s="612"/>
      <c r="R24" s="605"/>
    </row>
    <row r="25" spans="1:18" ht="19.399999999999999" customHeight="1" x14ac:dyDescent="0.35">
      <c r="A25" s="364" t="s">
        <v>9</v>
      </c>
      <c r="B25" s="365" t="s">
        <v>122</v>
      </c>
      <c r="C25" s="387" t="s">
        <v>123</v>
      </c>
      <c r="D25" s="382" t="s">
        <v>916</v>
      </c>
      <c r="E25" s="620" t="s">
        <v>124</v>
      </c>
      <c r="F25" s="399"/>
      <c r="G25" s="388">
        <v>2</v>
      </c>
      <c r="H25" s="387">
        <v>4</v>
      </c>
      <c r="I25" s="389">
        <v>4</v>
      </c>
      <c r="J25" s="384">
        <v>0.18181818181818174</v>
      </c>
      <c r="K25" s="385">
        <v>1</v>
      </c>
      <c r="L25" s="386">
        <v>1</v>
      </c>
      <c r="M25" s="491">
        <v>7.0578832419273247</v>
      </c>
      <c r="N25" s="492">
        <v>0.2714534485895676</v>
      </c>
      <c r="O25" s="610"/>
      <c r="P25" s="611"/>
      <c r="Q25" s="612"/>
      <c r="R25" s="605"/>
    </row>
    <row r="26" spans="1:18" ht="19.399999999999999" customHeight="1" x14ac:dyDescent="0.35">
      <c r="A26" s="364" t="s">
        <v>9</v>
      </c>
      <c r="B26" s="365" t="s">
        <v>167</v>
      </c>
      <c r="C26" s="387" t="s">
        <v>168</v>
      </c>
      <c r="D26" s="382" t="s">
        <v>916</v>
      </c>
      <c r="E26" s="620" t="s">
        <v>169</v>
      </c>
      <c r="F26" s="399"/>
      <c r="G26" s="388">
        <v>4</v>
      </c>
      <c r="H26" s="387">
        <v>4</v>
      </c>
      <c r="I26" s="389">
        <v>4</v>
      </c>
      <c r="J26" s="384">
        <v>1</v>
      </c>
      <c r="K26" s="385">
        <v>1</v>
      </c>
      <c r="L26" s="386">
        <v>1</v>
      </c>
      <c r="M26" s="491">
        <v>-7.1508673581733033</v>
      </c>
      <c r="N26" s="492">
        <v>7.4654150053390866</v>
      </c>
      <c r="O26" s="610">
        <v>0.21</v>
      </c>
      <c r="P26" s="611">
        <v>0.44</v>
      </c>
      <c r="Q26" s="612">
        <v>0.21</v>
      </c>
      <c r="R26" s="605"/>
    </row>
    <row r="27" spans="1:18" ht="19.399999999999999" customHeight="1" x14ac:dyDescent="0.35">
      <c r="A27" s="364" t="s">
        <v>9</v>
      </c>
      <c r="B27" s="365" t="s">
        <v>242</v>
      </c>
      <c r="C27" s="387" t="s">
        <v>243</v>
      </c>
      <c r="D27" s="382" t="s">
        <v>916</v>
      </c>
      <c r="E27" s="620" t="s">
        <v>244</v>
      </c>
      <c r="F27" s="399"/>
      <c r="G27" s="388">
        <v>2</v>
      </c>
      <c r="H27" s="387">
        <v>4</v>
      </c>
      <c r="I27" s="389">
        <v>4</v>
      </c>
      <c r="J27" s="384">
        <v>1</v>
      </c>
      <c r="K27" s="385">
        <v>1</v>
      </c>
      <c r="L27" s="386">
        <v>1</v>
      </c>
      <c r="M27" s="491">
        <v>0.61491299624011919</v>
      </c>
      <c r="N27" s="492">
        <v>1.8740907907336424</v>
      </c>
      <c r="O27" s="610">
        <v>0.08</v>
      </c>
      <c r="P27" s="611">
        <v>0.15</v>
      </c>
      <c r="Q27" s="612">
        <v>0.21</v>
      </c>
      <c r="R27" s="605"/>
    </row>
    <row r="28" spans="1:18" ht="19.399999999999999" customHeight="1" x14ac:dyDescent="0.35">
      <c r="A28" s="364" t="s">
        <v>414</v>
      </c>
      <c r="B28" s="365" t="s">
        <v>19</v>
      </c>
      <c r="C28" s="387" t="s">
        <v>421</v>
      </c>
      <c r="D28" s="382" t="s">
        <v>916</v>
      </c>
      <c r="E28" s="620" t="s">
        <v>422</v>
      </c>
      <c r="F28" s="399"/>
      <c r="G28" s="388">
        <v>1</v>
      </c>
      <c r="H28" s="387">
        <v>3</v>
      </c>
      <c r="I28" s="389">
        <v>4</v>
      </c>
      <c r="J28" s="384">
        <v>0.40540540540540543</v>
      </c>
      <c r="K28" s="385">
        <v>0.66666666666666674</v>
      </c>
      <c r="L28" s="386">
        <v>0.75</v>
      </c>
      <c r="M28" s="491">
        <v>39.913064430519221</v>
      </c>
      <c r="N28" s="492">
        <v>29.660907078632977</v>
      </c>
      <c r="O28" s="610"/>
      <c r="P28" s="611"/>
      <c r="Q28" s="612"/>
      <c r="R28" s="605"/>
    </row>
    <row r="29" spans="1:18" ht="19.399999999999999" customHeight="1" x14ac:dyDescent="0.35">
      <c r="A29" s="364" t="s">
        <v>414</v>
      </c>
      <c r="B29" s="365" t="s">
        <v>83</v>
      </c>
      <c r="C29" s="387" t="s">
        <v>463</v>
      </c>
      <c r="D29" s="382" t="s">
        <v>916</v>
      </c>
      <c r="E29" s="620" t="s">
        <v>464</v>
      </c>
      <c r="F29" s="399"/>
      <c r="G29" s="388">
        <v>4</v>
      </c>
      <c r="H29" s="387">
        <v>4</v>
      </c>
      <c r="I29" s="389">
        <v>4</v>
      </c>
      <c r="J29" s="384">
        <v>1</v>
      </c>
      <c r="K29" s="385">
        <v>1</v>
      </c>
      <c r="L29" s="386">
        <v>1</v>
      </c>
      <c r="M29" s="491">
        <v>-0.44845194022924739</v>
      </c>
      <c r="N29" s="492">
        <v>3.3894616005106926</v>
      </c>
      <c r="O29" s="610">
        <v>1</v>
      </c>
      <c r="P29" s="611">
        <v>1</v>
      </c>
      <c r="Q29" s="612">
        <v>1</v>
      </c>
      <c r="R29" s="605">
        <v>1</v>
      </c>
    </row>
    <row r="30" spans="1:18" ht="19.399999999999999" customHeight="1" x14ac:dyDescent="0.35">
      <c r="A30" s="359" t="s">
        <v>414</v>
      </c>
      <c r="B30" s="360" t="s">
        <v>167</v>
      </c>
      <c r="C30" s="381" t="s">
        <v>519</v>
      </c>
      <c r="D30" s="382" t="s">
        <v>916</v>
      </c>
      <c r="E30" s="620" t="s">
        <v>520</v>
      </c>
      <c r="F30" s="399"/>
      <c r="G30" s="388">
        <v>3</v>
      </c>
      <c r="H30" s="387">
        <v>3</v>
      </c>
      <c r="I30" s="389">
        <v>4</v>
      </c>
      <c r="J30" s="384">
        <v>0.13636363636363641</v>
      </c>
      <c r="K30" s="385">
        <v>0.44999999999999996</v>
      </c>
      <c r="L30" s="386">
        <v>0.55555555555555558</v>
      </c>
      <c r="M30" s="492">
        <v>14.81154027932137</v>
      </c>
      <c r="N30" s="492">
        <v>8.367423040680805</v>
      </c>
      <c r="O30" s="610"/>
      <c r="P30" s="611"/>
      <c r="Q30" s="612"/>
      <c r="R30" s="605"/>
    </row>
    <row r="31" spans="1:18" ht="19.399999999999999" customHeight="1" x14ac:dyDescent="0.35">
      <c r="A31" s="364" t="s">
        <v>414</v>
      </c>
      <c r="B31" s="365" t="s">
        <v>179</v>
      </c>
      <c r="C31" s="387" t="s">
        <v>527</v>
      </c>
      <c r="D31" s="382" t="s">
        <v>916</v>
      </c>
      <c r="E31" s="620" t="s">
        <v>528</v>
      </c>
      <c r="F31" s="399"/>
      <c r="G31" s="388">
        <v>4</v>
      </c>
      <c r="H31" s="387">
        <v>4</v>
      </c>
      <c r="I31" s="389">
        <v>4</v>
      </c>
      <c r="J31" s="384">
        <v>1</v>
      </c>
      <c r="K31" s="385">
        <v>1</v>
      </c>
      <c r="L31" s="386">
        <v>1</v>
      </c>
      <c r="M31" s="491">
        <v>35.43175487465183</v>
      </c>
      <c r="N31" s="492">
        <v>3.7817410024462412</v>
      </c>
      <c r="O31" s="610">
        <v>1</v>
      </c>
      <c r="P31" s="611">
        <v>1</v>
      </c>
      <c r="Q31" s="612">
        <v>1</v>
      </c>
      <c r="R31" s="605">
        <v>1</v>
      </c>
    </row>
    <row r="32" spans="1:18" ht="19.399999999999999" customHeight="1" x14ac:dyDescent="0.35">
      <c r="A32" s="364" t="s">
        <v>414</v>
      </c>
      <c r="B32" s="365" t="s">
        <v>197</v>
      </c>
      <c r="C32" s="387" t="s">
        <v>539</v>
      </c>
      <c r="D32" s="382" t="s">
        <v>916</v>
      </c>
      <c r="E32" s="620" t="s">
        <v>540</v>
      </c>
      <c r="F32" s="399"/>
      <c r="G32" s="388">
        <v>4</v>
      </c>
      <c r="H32" s="387">
        <v>4</v>
      </c>
      <c r="I32" s="389">
        <v>4</v>
      </c>
      <c r="J32" s="384">
        <v>1</v>
      </c>
      <c r="K32" s="385">
        <v>1</v>
      </c>
      <c r="L32" s="386">
        <v>1</v>
      </c>
      <c r="M32" s="491">
        <v>8.4996196341658266</v>
      </c>
      <c r="N32" s="492">
        <v>5.0727887716028666E-2</v>
      </c>
      <c r="O32" s="610">
        <v>0.46</v>
      </c>
      <c r="P32" s="611">
        <v>0.65</v>
      </c>
      <c r="Q32" s="612">
        <v>0.68</v>
      </c>
      <c r="R32" s="605"/>
    </row>
    <row r="33" spans="1:19" ht="19.399999999999999" customHeight="1" x14ac:dyDescent="0.35">
      <c r="A33" s="364" t="s">
        <v>414</v>
      </c>
      <c r="B33" s="365" t="s">
        <v>203</v>
      </c>
      <c r="C33" s="387" t="s">
        <v>543</v>
      </c>
      <c r="D33" s="382" t="s">
        <v>916</v>
      </c>
      <c r="E33" s="620" t="s">
        <v>544</v>
      </c>
      <c r="F33" s="399"/>
      <c r="G33" s="388">
        <v>4</v>
      </c>
      <c r="H33" s="387">
        <v>4</v>
      </c>
      <c r="I33" s="389">
        <v>4</v>
      </c>
      <c r="J33" s="384">
        <v>1</v>
      </c>
      <c r="K33" s="385">
        <v>1</v>
      </c>
      <c r="L33" s="386">
        <v>1</v>
      </c>
      <c r="M33" s="492">
        <v>13.493780470995519</v>
      </c>
      <c r="N33" s="492">
        <v>10.231016833565342</v>
      </c>
      <c r="O33" s="610">
        <v>0.46</v>
      </c>
      <c r="P33" s="611">
        <v>0.64</v>
      </c>
      <c r="Q33" s="612">
        <v>0.88</v>
      </c>
      <c r="R33" s="605">
        <v>1</v>
      </c>
    </row>
    <row r="34" spans="1:19" ht="19.399999999999999" customHeight="1" x14ac:dyDescent="0.35">
      <c r="A34" s="364" t="s">
        <v>575</v>
      </c>
      <c r="B34" s="365" t="s">
        <v>188</v>
      </c>
      <c r="C34" s="387" t="s">
        <v>694</v>
      </c>
      <c r="D34" s="382" t="s">
        <v>916</v>
      </c>
      <c r="E34" s="620" t="s">
        <v>695</v>
      </c>
      <c r="F34" s="399"/>
      <c r="G34" s="388">
        <v>3</v>
      </c>
      <c r="H34" s="387">
        <v>3</v>
      </c>
      <c r="I34" s="389">
        <v>3</v>
      </c>
      <c r="J34" s="384">
        <v>1</v>
      </c>
      <c r="K34" s="385">
        <v>1</v>
      </c>
      <c r="L34" s="386">
        <v>1</v>
      </c>
      <c r="M34" s="491">
        <v>5.1995160281516011</v>
      </c>
      <c r="N34" s="492">
        <v>11.568447371305981</v>
      </c>
      <c r="O34" s="610">
        <v>0.7</v>
      </c>
      <c r="P34" s="611">
        <v>1</v>
      </c>
      <c r="Q34" s="612">
        <v>1</v>
      </c>
      <c r="R34" s="605">
        <v>1</v>
      </c>
    </row>
    <row r="35" spans="1:19" ht="19.399999999999999" customHeight="1" x14ac:dyDescent="0.35">
      <c r="A35" s="364" t="s">
        <v>736</v>
      </c>
      <c r="B35" s="365" t="s">
        <v>158</v>
      </c>
      <c r="C35" s="387" t="s">
        <v>835</v>
      </c>
      <c r="D35" s="382" t="s">
        <v>916</v>
      </c>
      <c r="E35" s="620" t="s">
        <v>836</v>
      </c>
      <c r="F35" s="399"/>
      <c r="G35" s="388">
        <v>4</v>
      </c>
      <c r="H35" s="387">
        <v>4</v>
      </c>
      <c r="I35" s="389">
        <v>4</v>
      </c>
      <c r="J35" s="384">
        <v>1</v>
      </c>
      <c r="K35" s="385">
        <v>1</v>
      </c>
      <c r="L35" s="386">
        <v>1</v>
      </c>
      <c r="M35" s="491">
        <v>-3.418105045269507</v>
      </c>
      <c r="N35" s="492">
        <v>1.7140513887188427</v>
      </c>
      <c r="O35" s="610"/>
      <c r="P35" s="611"/>
      <c r="Q35" s="612"/>
      <c r="R35" s="605"/>
    </row>
    <row r="36" spans="1:19" ht="19.399999999999999" customHeight="1" x14ac:dyDescent="0.35">
      <c r="A36" s="364" t="s">
        <v>736</v>
      </c>
      <c r="B36" s="365" t="s">
        <v>179</v>
      </c>
      <c r="C36" s="387" t="s">
        <v>849</v>
      </c>
      <c r="D36" s="382" t="s">
        <v>916</v>
      </c>
      <c r="E36" s="620" t="s">
        <v>850</v>
      </c>
      <c r="F36" s="399"/>
      <c r="G36" s="388">
        <v>4</v>
      </c>
      <c r="H36" s="387">
        <v>4</v>
      </c>
      <c r="I36" s="389">
        <v>4</v>
      </c>
      <c r="J36" s="384">
        <v>1</v>
      </c>
      <c r="K36" s="385">
        <v>1</v>
      </c>
      <c r="L36" s="386">
        <v>1</v>
      </c>
      <c r="M36" s="491">
        <v>-0.2143950858850675</v>
      </c>
      <c r="N36" s="492">
        <v>2.184804432807073</v>
      </c>
      <c r="O36" s="610">
        <v>0.97</v>
      </c>
      <c r="P36" s="611">
        <v>0.89</v>
      </c>
      <c r="Q36" s="612">
        <v>0.74</v>
      </c>
      <c r="R36" s="605">
        <v>1</v>
      </c>
      <c r="S36" s="15" t="s">
        <v>2029</v>
      </c>
    </row>
    <row r="37" spans="1:19" ht="30.75" customHeight="1" x14ac:dyDescent="0.35">
      <c r="A37" s="366" t="s">
        <v>736</v>
      </c>
      <c r="B37" s="367" t="s">
        <v>89</v>
      </c>
      <c r="C37" s="391" t="s">
        <v>789</v>
      </c>
      <c r="D37" s="392" t="s">
        <v>916</v>
      </c>
      <c r="E37" s="621" t="s">
        <v>790</v>
      </c>
      <c r="F37" s="400"/>
      <c r="G37" s="394">
        <v>4</v>
      </c>
      <c r="H37" s="391">
        <v>4</v>
      </c>
      <c r="I37" s="395">
        <v>4</v>
      </c>
      <c r="J37" s="396">
        <v>0.3</v>
      </c>
      <c r="K37" s="397">
        <v>0.55555555555555558</v>
      </c>
      <c r="L37" s="398">
        <v>1</v>
      </c>
      <c r="M37" s="493">
        <v>17.794911022175349</v>
      </c>
      <c r="N37" s="603">
        <v>15.155671257286153</v>
      </c>
      <c r="O37" s="613"/>
      <c r="P37" s="614"/>
      <c r="Q37" s="615"/>
      <c r="R37" s="606"/>
    </row>
    <row r="38" spans="1:19" x14ac:dyDescent="0.35">
      <c r="A38" s="361"/>
      <c r="B38" s="361"/>
      <c r="C38" s="361"/>
      <c r="D38" s="361"/>
      <c r="E38" s="361"/>
      <c r="F38" s="368"/>
      <c r="G38" s="369"/>
      <c r="H38" s="369"/>
      <c r="I38" s="369"/>
      <c r="J38" s="369"/>
      <c r="K38" s="369"/>
      <c r="L38" s="369"/>
    </row>
    <row r="39" spans="1:19" x14ac:dyDescent="0.35">
      <c r="A39" s="361"/>
      <c r="B39" s="361"/>
      <c r="C39" s="361"/>
      <c r="D39" s="361"/>
      <c r="E39" s="361"/>
      <c r="F39" s="368"/>
      <c r="G39" s="358"/>
      <c r="H39" s="358"/>
      <c r="I39" s="358"/>
      <c r="J39" s="369"/>
      <c r="K39" s="369"/>
      <c r="L39" s="369"/>
      <c r="P39" s="672" t="s">
        <v>2031</v>
      </c>
      <c r="Q39" s="672"/>
      <c r="R39" s="368">
        <f>SUM(R4:R36)</f>
        <v>13</v>
      </c>
    </row>
    <row r="40" spans="1:19" x14ac:dyDescent="0.35">
      <c r="A40" s="361"/>
      <c r="B40" s="361"/>
      <c r="C40" s="361"/>
      <c r="D40" s="361"/>
      <c r="E40" s="361"/>
      <c r="F40" s="368"/>
      <c r="G40" s="358"/>
      <c r="H40" s="358"/>
      <c r="I40" s="358"/>
      <c r="J40" s="369"/>
      <c r="K40" s="369"/>
      <c r="L40" s="369"/>
    </row>
    <row r="41" spans="1:19" x14ac:dyDescent="0.35">
      <c r="A41" s="361"/>
      <c r="B41" s="361"/>
      <c r="C41" s="361"/>
      <c r="D41" s="361"/>
      <c r="E41" s="361"/>
      <c r="F41" s="368"/>
      <c r="G41" s="358"/>
      <c r="H41" s="358"/>
      <c r="I41" s="358"/>
      <c r="J41" s="369"/>
      <c r="K41" s="369"/>
      <c r="L41" s="369"/>
    </row>
    <row r="42" spans="1:19" ht="68.25" customHeight="1" x14ac:dyDescent="0.35">
      <c r="O42" s="669" t="s">
        <v>2035</v>
      </c>
      <c r="P42" s="669"/>
      <c r="Q42" s="669"/>
      <c r="R42" s="669"/>
    </row>
    <row r="43" spans="1:19" x14ac:dyDescent="0.35">
      <c r="O43" s="355"/>
      <c r="P43" s="355"/>
    </row>
  </sheetData>
  <mergeCells count="6">
    <mergeCell ref="O42:R42"/>
    <mergeCell ref="G1:I1"/>
    <mergeCell ref="J1:L1"/>
    <mergeCell ref="M1:N1"/>
    <mergeCell ref="O1:Q1"/>
    <mergeCell ref="P39:Q39"/>
  </mergeCells>
  <conditionalFormatting sqref="G39:I104857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8:I38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8:I104857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:L3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:I37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:M37">
    <cfRule type="cellIs" dxfId="0" priority="5" operator="lessThan">
      <formula>30</formula>
    </cfRule>
  </conditionalFormatting>
  <conditionalFormatting sqref="G3:L3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3:Q3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405"/>
  <sheetViews>
    <sheetView zoomScale="60" zoomScaleNormal="60" workbookViewId="0">
      <pane ySplit="830" activePane="bottomLeft"/>
      <selection activeCell="D2" sqref="D1:D1048576"/>
      <selection pane="bottomLeft" activeCell="L26" sqref="L26"/>
    </sheetView>
  </sheetViews>
  <sheetFormatPr defaultColWidth="9.1796875" defaultRowHeight="20.25" customHeight="1" x14ac:dyDescent="0.35"/>
  <cols>
    <col min="1" max="1" width="16.54296875" style="497" customWidth="1"/>
    <col min="2" max="2" width="9.1796875" style="120"/>
    <col min="3" max="3" width="22.1796875" style="130" customWidth="1"/>
    <col min="4" max="4" width="13.453125" style="512" customWidth="1"/>
    <col min="5" max="5" width="13.453125" style="511" customWidth="1"/>
    <col min="6" max="6" width="17.54296875" style="512" customWidth="1"/>
    <col min="7" max="7" width="4.54296875" style="120" customWidth="1"/>
    <col min="8" max="8" width="9.1796875" style="120"/>
    <col min="9" max="9" width="9.1796875" style="198"/>
    <col min="10" max="10" width="11.54296875" style="120" customWidth="1"/>
    <col min="11" max="11" width="9.1796875" style="120"/>
    <col min="12" max="12" width="105.1796875" style="198" customWidth="1"/>
    <col min="13" max="24" width="9.1796875" style="198"/>
    <col min="25" max="16384" width="9.1796875" style="120"/>
  </cols>
  <sheetData>
    <row r="1" spans="1:23" ht="33.75" customHeight="1" x14ac:dyDescent="0.35">
      <c r="B1" s="498"/>
      <c r="C1" s="209"/>
      <c r="D1" s="626" t="s">
        <v>1818</v>
      </c>
      <c r="E1" s="627"/>
      <c r="F1" s="628"/>
      <c r="G1" s="200"/>
      <c r="H1" s="626" t="s">
        <v>1819</v>
      </c>
      <c r="I1" s="627"/>
      <c r="J1" s="628"/>
    </row>
    <row r="2" spans="1:23" ht="20.25" customHeight="1" x14ac:dyDescent="0.35">
      <c r="A2" s="121" t="s">
        <v>1820</v>
      </c>
      <c r="B2" s="121" t="s">
        <v>1821</v>
      </c>
      <c r="C2" s="622" t="s">
        <v>4</v>
      </c>
      <c r="D2" s="494" t="s">
        <v>1822</v>
      </c>
      <c r="E2" s="495" t="s">
        <v>1823</v>
      </c>
      <c r="F2" s="496" t="s">
        <v>2026</v>
      </c>
      <c r="G2" s="499"/>
      <c r="H2" s="494" t="s">
        <v>1822</v>
      </c>
      <c r="I2" s="495" t="s">
        <v>1823</v>
      </c>
      <c r="J2" s="496" t="s">
        <v>2026</v>
      </c>
      <c r="L2" s="215"/>
    </row>
    <row r="3" spans="1:23" ht="20.25" customHeight="1" x14ac:dyDescent="0.35">
      <c r="A3" s="497" t="s">
        <v>1824</v>
      </c>
      <c r="B3" s="500" t="s">
        <v>1825</v>
      </c>
      <c r="C3" s="126" t="s">
        <v>11</v>
      </c>
      <c r="D3" s="501"/>
      <c r="E3" s="502"/>
      <c r="F3" s="503"/>
      <c r="G3" s="123"/>
      <c r="H3" s="201">
        <v>0</v>
      </c>
      <c r="I3" s="122">
        <v>0</v>
      </c>
      <c r="J3" s="202">
        <v>0</v>
      </c>
      <c r="L3" s="629" t="s">
        <v>1844</v>
      </c>
      <c r="M3" s="629"/>
      <c r="N3" s="629"/>
      <c r="O3" s="629"/>
      <c r="P3" s="127"/>
      <c r="Q3" s="127"/>
      <c r="R3" s="127"/>
      <c r="S3" s="127"/>
      <c r="T3" s="127"/>
      <c r="U3" s="127"/>
      <c r="V3" s="127"/>
      <c r="W3" s="127"/>
    </row>
    <row r="4" spans="1:23" ht="20.25" customHeight="1" x14ac:dyDescent="0.35">
      <c r="A4" s="497" t="s">
        <v>1824</v>
      </c>
      <c r="B4" s="500" t="s">
        <v>1826</v>
      </c>
      <c r="C4" s="126" t="s">
        <v>42</v>
      </c>
      <c r="D4" s="210"/>
      <c r="E4" s="131"/>
      <c r="F4" s="211"/>
      <c r="G4" s="123"/>
      <c r="H4" s="203">
        <v>0</v>
      </c>
      <c r="I4" s="123">
        <v>0</v>
      </c>
      <c r="J4" s="204">
        <v>0</v>
      </c>
      <c r="L4" s="216" t="s">
        <v>2032</v>
      </c>
      <c r="M4" s="124"/>
      <c r="N4" s="124"/>
      <c r="O4" s="125"/>
      <c r="P4" s="127"/>
      <c r="Q4" s="127"/>
      <c r="R4" s="127"/>
      <c r="S4" s="127"/>
      <c r="T4" s="127"/>
      <c r="U4" s="127"/>
      <c r="V4" s="127"/>
      <c r="W4" s="127"/>
    </row>
    <row r="5" spans="1:23" ht="20.25" customHeight="1" x14ac:dyDescent="0.35">
      <c r="A5" s="497" t="s">
        <v>1824</v>
      </c>
      <c r="B5" s="500" t="s">
        <v>1827</v>
      </c>
      <c r="C5" s="126" t="s">
        <v>72</v>
      </c>
      <c r="D5" s="210"/>
      <c r="E5" s="131"/>
      <c r="F5" s="211"/>
      <c r="G5" s="123"/>
      <c r="H5" s="203">
        <v>0</v>
      </c>
      <c r="I5" s="123">
        <v>0</v>
      </c>
      <c r="J5" s="204">
        <v>0</v>
      </c>
      <c r="L5" s="216" t="s">
        <v>1847</v>
      </c>
      <c r="M5" s="124"/>
      <c r="N5" s="124"/>
      <c r="O5" s="125"/>
      <c r="P5" s="127"/>
      <c r="Q5" s="127"/>
      <c r="R5" s="127"/>
      <c r="S5" s="127"/>
      <c r="T5" s="127"/>
      <c r="U5" s="127"/>
      <c r="V5" s="127"/>
      <c r="W5" s="127"/>
    </row>
    <row r="6" spans="1:23" ht="20.25" customHeight="1" x14ac:dyDescent="0.35">
      <c r="A6" s="497" t="s">
        <v>1824</v>
      </c>
      <c r="B6" s="500" t="s">
        <v>1828</v>
      </c>
      <c r="C6" s="126" t="s">
        <v>102</v>
      </c>
      <c r="D6" s="210"/>
      <c r="E6" s="131"/>
      <c r="F6" s="211"/>
      <c r="G6" s="123"/>
      <c r="H6" s="203">
        <v>0</v>
      </c>
      <c r="I6" s="123">
        <v>0</v>
      </c>
      <c r="J6" s="204">
        <v>0</v>
      </c>
      <c r="L6" s="216" t="s">
        <v>1849</v>
      </c>
      <c r="M6" s="124"/>
      <c r="N6" s="124"/>
      <c r="O6" s="125"/>
      <c r="P6" s="127"/>
      <c r="Q6" s="127"/>
      <c r="R6" s="127"/>
      <c r="S6" s="127"/>
      <c r="T6" s="127"/>
      <c r="U6" s="127"/>
      <c r="V6" s="127"/>
      <c r="W6" s="127"/>
    </row>
    <row r="7" spans="1:23" ht="20.25" customHeight="1" x14ac:dyDescent="0.35">
      <c r="A7" s="497" t="s">
        <v>1824</v>
      </c>
      <c r="B7" s="500" t="s">
        <v>1829</v>
      </c>
      <c r="C7" s="126" t="s">
        <v>132</v>
      </c>
      <c r="D7" s="210" t="s">
        <v>1830</v>
      </c>
      <c r="E7" s="131" t="s">
        <v>1831</v>
      </c>
      <c r="F7" s="211"/>
      <c r="G7" s="123"/>
      <c r="H7" s="203">
        <v>2</v>
      </c>
      <c r="I7" s="123">
        <v>1</v>
      </c>
      <c r="J7" s="204">
        <v>0</v>
      </c>
      <c r="L7" s="216" t="s">
        <v>1851</v>
      </c>
      <c r="M7" s="124"/>
      <c r="N7" s="124"/>
      <c r="O7" s="125"/>
      <c r="P7" s="127"/>
      <c r="Q7" s="127"/>
      <c r="R7" s="127"/>
      <c r="S7" s="127"/>
      <c r="T7" s="127"/>
      <c r="U7" s="127"/>
      <c r="V7" s="127"/>
      <c r="W7" s="127"/>
    </row>
    <row r="8" spans="1:23" ht="20.25" customHeight="1" x14ac:dyDescent="0.35">
      <c r="A8" s="497" t="s">
        <v>1824</v>
      </c>
      <c r="B8" s="500" t="s">
        <v>1832</v>
      </c>
      <c r="C8" s="126" t="s">
        <v>162</v>
      </c>
      <c r="D8" s="210"/>
      <c r="E8" s="131"/>
      <c r="F8" s="211"/>
      <c r="G8" s="123"/>
      <c r="H8" s="203">
        <v>0</v>
      </c>
      <c r="I8" s="123">
        <v>0</v>
      </c>
      <c r="J8" s="204">
        <v>0</v>
      </c>
      <c r="L8" s="216" t="s">
        <v>1853</v>
      </c>
      <c r="M8" s="124"/>
      <c r="N8" s="124"/>
      <c r="O8" s="125"/>
      <c r="P8" s="127"/>
      <c r="Q8" s="127"/>
      <c r="R8" s="127"/>
      <c r="S8" s="127"/>
      <c r="T8" s="127"/>
      <c r="U8" s="127"/>
      <c r="V8" s="127"/>
      <c r="W8" s="127"/>
    </row>
    <row r="9" spans="1:23" ht="20.25" customHeight="1" x14ac:dyDescent="0.35">
      <c r="A9" s="497" t="s">
        <v>1824</v>
      </c>
      <c r="B9" s="500" t="s">
        <v>1833</v>
      </c>
      <c r="C9" s="126" t="s">
        <v>192</v>
      </c>
      <c r="D9" s="210"/>
      <c r="E9" s="131"/>
      <c r="F9" s="211"/>
      <c r="G9" s="123"/>
      <c r="H9" s="203">
        <v>0</v>
      </c>
      <c r="I9" s="123">
        <v>0</v>
      </c>
      <c r="J9" s="204">
        <v>0</v>
      </c>
      <c r="L9" s="217" t="s">
        <v>1857</v>
      </c>
    </row>
    <row r="10" spans="1:23" ht="20.25" customHeight="1" x14ac:dyDescent="0.35">
      <c r="A10" s="497" t="s">
        <v>1824</v>
      </c>
      <c r="B10" s="500" t="s">
        <v>1834</v>
      </c>
      <c r="C10" s="126" t="s">
        <v>222</v>
      </c>
      <c r="D10" s="210"/>
      <c r="E10" s="131"/>
      <c r="F10" s="211"/>
      <c r="G10" s="123"/>
      <c r="H10" s="203">
        <v>0</v>
      </c>
      <c r="I10" s="123">
        <v>0</v>
      </c>
      <c r="J10" s="204">
        <v>0</v>
      </c>
      <c r="L10" s="216" t="s">
        <v>1859</v>
      </c>
      <c r="M10" s="124"/>
      <c r="N10" s="124"/>
      <c r="O10" s="125"/>
      <c r="P10" s="127"/>
      <c r="Q10" s="127"/>
      <c r="R10" s="127"/>
      <c r="S10" s="127"/>
      <c r="T10" s="127"/>
      <c r="U10" s="127"/>
      <c r="V10" s="127"/>
      <c r="W10" s="127"/>
    </row>
    <row r="11" spans="1:23" ht="20.25" customHeight="1" x14ac:dyDescent="0.35">
      <c r="A11" s="497" t="s">
        <v>1824</v>
      </c>
      <c r="B11" s="500" t="s">
        <v>1835</v>
      </c>
      <c r="C11" s="126" t="s">
        <v>14</v>
      </c>
      <c r="D11" s="210"/>
      <c r="E11" s="504" t="s">
        <v>1836</v>
      </c>
      <c r="F11" s="211" t="s">
        <v>1837</v>
      </c>
      <c r="G11" s="198"/>
      <c r="H11" s="203">
        <v>0</v>
      </c>
      <c r="I11" s="123">
        <v>2</v>
      </c>
      <c r="J11" s="204">
        <v>2</v>
      </c>
      <c r="L11" s="216" t="s">
        <v>1861</v>
      </c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</row>
    <row r="12" spans="1:23" ht="20.25" customHeight="1" x14ac:dyDescent="0.35">
      <c r="A12" s="497" t="s">
        <v>1824</v>
      </c>
      <c r="B12" s="500" t="s">
        <v>1838</v>
      </c>
      <c r="C12" s="126" t="s">
        <v>45</v>
      </c>
      <c r="D12" s="210"/>
      <c r="E12" s="131"/>
      <c r="F12" s="211"/>
      <c r="G12" s="123"/>
      <c r="H12" s="203">
        <v>0</v>
      </c>
      <c r="I12" s="123">
        <v>0</v>
      </c>
      <c r="J12" s="204">
        <v>0</v>
      </c>
      <c r="L12" s="216" t="s">
        <v>2028</v>
      </c>
      <c r="M12" s="124"/>
      <c r="N12" s="124"/>
      <c r="O12" s="125"/>
      <c r="P12" s="127"/>
      <c r="Q12" s="127"/>
      <c r="R12" s="127"/>
      <c r="S12" s="127"/>
      <c r="T12" s="127"/>
      <c r="U12" s="127"/>
      <c r="V12" s="127"/>
      <c r="W12" s="127"/>
    </row>
    <row r="13" spans="1:23" ht="20.25" customHeight="1" x14ac:dyDescent="0.35">
      <c r="A13" s="497" t="s">
        <v>1824</v>
      </c>
      <c r="B13" s="500" t="s">
        <v>1839</v>
      </c>
      <c r="C13" s="126" t="s">
        <v>75</v>
      </c>
      <c r="D13" s="210" t="s">
        <v>1840</v>
      </c>
      <c r="E13" s="131"/>
      <c r="F13" s="211"/>
      <c r="G13" s="123"/>
      <c r="H13" s="203">
        <v>1</v>
      </c>
      <c r="I13" s="123">
        <v>0</v>
      </c>
      <c r="J13" s="204">
        <v>0</v>
      </c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</row>
    <row r="14" spans="1:23" ht="20.25" customHeight="1" x14ac:dyDescent="0.35">
      <c r="A14" s="497" t="s">
        <v>1824</v>
      </c>
      <c r="B14" s="500" t="s">
        <v>1841</v>
      </c>
      <c r="C14" s="126" t="s">
        <v>105</v>
      </c>
      <c r="D14" s="210"/>
      <c r="E14" s="504"/>
      <c r="F14" s="211"/>
      <c r="G14" s="198"/>
      <c r="H14" s="203">
        <v>0</v>
      </c>
      <c r="I14" s="123">
        <v>0</v>
      </c>
      <c r="J14" s="204">
        <v>0</v>
      </c>
      <c r="L14" s="218" t="s">
        <v>2020</v>
      </c>
      <c r="M14" s="125"/>
      <c r="N14" s="125"/>
      <c r="O14" s="125"/>
      <c r="P14" s="127"/>
      <c r="Q14" s="127"/>
      <c r="R14" s="127"/>
      <c r="S14" s="127"/>
      <c r="T14" s="127"/>
      <c r="U14" s="127"/>
      <c r="V14" s="127"/>
      <c r="W14" s="127"/>
    </row>
    <row r="15" spans="1:23" ht="20.25" customHeight="1" x14ac:dyDescent="0.35">
      <c r="A15" s="497" t="s">
        <v>1824</v>
      </c>
      <c r="B15" s="500" t="s">
        <v>1842</v>
      </c>
      <c r="C15" s="126" t="s">
        <v>135</v>
      </c>
      <c r="D15" s="210" t="s">
        <v>1831</v>
      </c>
      <c r="E15" s="131" t="s">
        <v>903</v>
      </c>
      <c r="F15" s="211"/>
      <c r="G15" s="123"/>
      <c r="H15" s="203">
        <v>1</v>
      </c>
      <c r="I15" s="123">
        <v>1</v>
      </c>
      <c r="J15" s="204">
        <v>0</v>
      </c>
      <c r="L15" s="219" t="s">
        <v>2027</v>
      </c>
      <c r="M15" s="125"/>
      <c r="N15" s="125"/>
      <c r="O15" s="125"/>
      <c r="P15" s="127"/>
      <c r="Q15" s="127"/>
      <c r="R15" s="127"/>
      <c r="S15" s="127"/>
      <c r="T15" s="127"/>
      <c r="U15" s="127"/>
      <c r="V15" s="127"/>
      <c r="W15" s="127"/>
    </row>
    <row r="16" spans="1:23" ht="20.25" customHeight="1" x14ac:dyDescent="0.35">
      <c r="A16" s="497" t="s">
        <v>1824</v>
      </c>
      <c r="B16" s="500" t="s">
        <v>1843</v>
      </c>
      <c r="C16" s="126" t="s">
        <v>165</v>
      </c>
      <c r="D16" s="210" t="s">
        <v>1840</v>
      </c>
      <c r="E16" s="131"/>
      <c r="F16" s="211"/>
      <c r="G16" s="123"/>
      <c r="H16" s="203">
        <v>1</v>
      </c>
      <c r="I16" s="123">
        <v>0</v>
      </c>
      <c r="J16" s="204">
        <v>0</v>
      </c>
      <c r="L16" s="219" t="s">
        <v>2021</v>
      </c>
      <c r="M16" s="125"/>
      <c r="N16" s="125"/>
      <c r="O16" s="125"/>
      <c r="P16" s="125"/>
      <c r="Q16" s="125"/>
      <c r="R16" s="127"/>
      <c r="S16" s="127"/>
      <c r="T16" s="127"/>
      <c r="U16" s="127"/>
      <c r="V16" s="127"/>
      <c r="W16" s="127"/>
    </row>
    <row r="17" spans="1:23" ht="20.25" customHeight="1" x14ac:dyDescent="0.35">
      <c r="A17" s="497" t="s">
        <v>1824</v>
      </c>
      <c r="B17" s="500" t="s">
        <v>1845</v>
      </c>
      <c r="C17" s="126" t="s">
        <v>195</v>
      </c>
      <c r="D17" s="210"/>
      <c r="E17" s="504"/>
      <c r="F17" s="211"/>
      <c r="G17" s="198"/>
      <c r="H17" s="203">
        <v>0</v>
      </c>
      <c r="I17" s="123">
        <v>0</v>
      </c>
      <c r="J17" s="204">
        <v>0</v>
      </c>
      <c r="L17" s="219" t="s">
        <v>1868</v>
      </c>
      <c r="M17" s="125"/>
      <c r="N17" s="125"/>
      <c r="O17" s="125"/>
      <c r="P17" s="125"/>
      <c r="Q17" s="125"/>
      <c r="R17" s="127"/>
      <c r="S17" s="127"/>
      <c r="T17" s="127"/>
      <c r="U17" s="127"/>
      <c r="V17" s="127"/>
      <c r="W17" s="127"/>
    </row>
    <row r="18" spans="1:23" ht="20.25" customHeight="1" x14ac:dyDescent="0.35">
      <c r="A18" s="497" t="s">
        <v>1824</v>
      </c>
      <c r="B18" s="500" t="s">
        <v>1846</v>
      </c>
      <c r="C18" s="126" t="s">
        <v>225</v>
      </c>
      <c r="D18" s="210" t="s">
        <v>1831</v>
      </c>
      <c r="E18" s="131"/>
      <c r="F18" s="211"/>
      <c r="G18" s="123"/>
      <c r="H18" s="203">
        <v>1</v>
      </c>
      <c r="I18" s="123">
        <v>0</v>
      </c>
      <c r="J18" s="204">
        <v>0</v>
      </c>
      <c r="L18" s="219"/>
      <c r="M18" s="125"/>
      <c r="N18" s="125"/>
      <c r="O18" s="125"/>
      <c r="P18" s="125"/>
      <c r="Q18" s="125"/>
      <c r="R18" s="127"/>
      <c r="S18" s="127"/>
      <c r="T18" s="127"/>
      <c r="U18" s="127"/>
      <c r="V18" s="127"/>
      <c r="W18" s="127"/>
    </row>
    <row r="19" spans="1:23" ht="20.25" customHeight="1" x14ac:dyDescent="0.35">
      <c r="A19" s="497" t="s">
        <v>1824</v>
      </c>
      <c r="B19" s="500" t="s">
        <v>1848</v>
      </c>
      <c r="C19" s="126" t="s">
        <v>17</v>
      </c>
      <c r="D19" s="210"/>
      <c r="E19" s="131"/>
      <c r="F19" s="211"/>
      <c r="G19" s="123"/>
      <c r="H19" s="203">
        <v>0</v>
      </c>
      <c r="I19" s="123">
        <v>0</v>
      </c>
      <c r="J19" s="204">
        <v>0</v>
      </c>
    </row>
    <row r="20" spans="1:23" ht="20.25" customHeight="1" x14ac:dyDescent="0.35">
      <c r="A20" s="497" t="s">
        <v>1824</v>
      </c>
      <c r="B20" s="500" t="s">
        <v>1850</v>
      </c>
      <c r="C20" s="126" t="s">
        <v>48</v>
      </c>
      <c r="D20" s="210"/>
      <c r="E20" s="131" t="s">
        <v>1831</v>
      </c>
      <c r="F20" s="211"/>
      <c r="G20" s="123"/>
      <c r="H20" s="203">
        <v>0</v>
      </c>
      <c r="I20" s="123">
        <v>1</v>
      </c>
      <c r="J20" s="204">
        <v>0</v>
      </c>
    </row>
    <row r="21" spans="1:23" ht="20.25" customHeight="1" x14ac:dyDescent="0.35">
      <c r="A21" s="497" t="s">
        <v>1824</v>
      </c>
      <c r="B21" s="500" t="s">
        <v>1852</v>
      </c>
      <c r="C21" s="126" t="s">
        <v>78</v>
      </c>
      <c r="D21" s="210"/>
      <c r="E21" s="504"/>
      <c r="F21" s="211"/>
      <c r="G21" s="198"/>
      <c r="H21" s="203">
        <v>0</v>
      </c>
      <c r="I21" s="123">
        <v>0</v>
      </c>
      <c r="J21" s="204">
        <v>0</v>
      </c>
    </row>
    <row r="22" spans="1:23" ht="20.25" customHeight="1" x14ac:dyDescent="0.35">
      <c r="A22" s="497" t="s">
        <v>1824</v>
      </c>
      <c r="B22" s="500" t="s">
        <v>1854</v>
      </c>
      <c r="C22" s="126" t="s">
        <v>108</v>
      </c>
      <c r="D22" s="210" t="s">
        <v>1831</v>
      </c>
      <c r="E22" s="131" t="s">
        <v>1855</v>
      </c>
      <c r="F22" s="505" t="s">
        <v>1856</v>
      </c>
      <c r="G22" s="123"/>
      <c r="H22" s="203">
        <v>1</v>
      </c>
      <c r="I22" s="123">
        <v>4</v>
      </c>
      <c r="J22" s="204">
        <v>4</v>
      </c>
    </row>
    <row r="23" spans="1:23" ht="20.25" customHeight="1" x14ac:dyDescent="0.35">
      <c r="A23" s="497" t="s">
        <v>1824</v>
      </c>
      <c r="B23" s="500" t="s">
        <v>1858</v>
      </c>
      <c r="C23" s="126" t="s">
        <v>138</v>
      </c>
      <c r="D23" s="210"/>
      <c r="E23" s="131"/>
      <c r="F23" s="211"/>
      <c r="G23" s="123"/>
      <c r="H23" s="203">
        <v>0</v>
      </c>
      <c r="I23" s="123">
        <v>0</v>
      </c>
      <c r="J23" s="204">
        <v>0</v>
      </c>
    </row>
    <row r="24" spans="1:23" ht="20.25" customHeight="1" x14ac:dyDescent="0.35">
      <c r="A24" s="497" t="s">
        <v>1824</v>
      </c>
      <c r="B24" s="500" t="s">
        <v>1860</v>
      </c>
      <c r="C24" s="126" t="s">
        <v>168</v>
      </c>
      <c r="D24" s="506" t="s">
        <v>1856</v>
      </c>
      <c r="E24" s="507" t="s">
        <v>1856</v>
      </c>
      <c r="F24" s="505" t="s">
        <v>1856</v>
      </c>
      <c r="G24" s="123"/>
      <c r="H24" s="203">
        <v>4</v>
      </c>
      <c r="I24" s="123">
        <v>4</v>
      </c>
      <c r="J24" s="204">
        <v>4</v>
      </c>
    </row>
    <row r="25" spans="1:23" ht="20.25" customHeight="1" x14ac:dyDescent="0.35">
      <c r="A25" s="497" t="s">
        <v>1824</v>
      </c>
      <c r="B25" s="500" t="s">
        <v>1862</v>
      </c>
      <c r="C25" s="126" t="s">
        <v>198</v>
      </c>
      <c r="D25" s="210"/>
      <c r="E25" s="131"/>
      <c r="F25" s="211"/>
      <c r="G25" s="123"/>
      <c r="H25" s="203">
        <v>0</v>
      </c>
      <c r="I25" s="123">
        <v>0</v>
      </c>
      <c r="J25" s="204">
        <v>0</v>
      </c>
    </row>
    <row r="26" spans="1:23" ht="20.25" customHeight="1" x14ac:dyDescent="0.35">
      <c r="A26" s="497" t="s">
        <v>1824</v>
      </c>
      <c r="B26" s="500" t="s">
        <v>1863</v>
      </c>
      <c r="C26" s="126" t="s">
        <v>228</v>
      </c>
      <c r="D26" s="210"/>
      <c r="E26" s="131"/>
      <c r="F26" s="211"/>
      <c r="G26" s="123"/>
      <c r="H26" s="203">
        <v>0</v>
      </c>
      <c r="I26" s="123">
        <v>0</v>
      </c>
      <c r="J26" s="204">
        <v>0</v>
      </c>
    </row>
    <row r="27" spans="1:23" ht="20.25" customHeight="1" x14ac:dyDescent="0.35">
      <c r="A27" s="497" t="s">
        <v>1824</v>
      </c>
      <c r="B27" s="500" t="s">
        <v>1864</v>
      </c>
      <c r="C27" s="126" t="s">
        <v>20</v>
      </c>
      <c r="D27" s="210" t="s">
        <v>1836</v>
      </c>
      <c r="E27" s="507" t="s">
        <v>1856</v>
      </c>
      <c r="F27" s="505" t="s">
        <v>1856</v>
      </c>
      <c r="G27" s="123"/>
      <c r="H27" s="203">
        <v>2</v>
      </c>
      <c r="I27" s="123">
        <v>4</v>
      </c>
      <c r="J27" s="204">
        <v>4</v>
      </c>
    </row>
    <row r="28" spans="1:23" ht="20.25" customHeight="1" x14ac:dyDescent="0.35">
      <c r="A28" s="497" t="s">
        <v>1824</v>
      </c>
      <c r="B28" s="500" t="s">
        <v>1865</v>
      </c>
      <c r="C28" s="126" t="s">
        <v>51</v>
      </c>
      <c r="D28" s="210"/>
      <c r="E28" s="131"/>
      <c r="F28" s="211"/>
      <c r="G28" s="123"/>
      <c r="H28" s="203">
        <v>0</v>
      </c>
      <c r="I28" s="123">
        <v>0</v>
      </c>
      <c r="J28" s="204">
        <v>0</v>
      </c>
    </row>
    <row r="29" spans="1:23" ht="20.25" customHeight="1" x14ac:dyDescent="0.35">
      <c r="A29" s="497" t="s">
        <v>1824</v>
      </c>
      <c r="B29" s="500" t="s">
        <v>1866</v>
      </c>
      <c r="C29" s="126" t="s">
        <v>81</v>
      </c>
      <c r="D29" s="210" t="s">
        <v>1840</v>
      </c>
      <c r="E29" s="131"/>
      <c r="F29" s="211"/>
      <c r="G29" s="123"/>
      <c r="H29" s="203">
        <v>1</v>
      </c>
      <c r="I29" s="123">
        <v>0</v>
      </c>
      <c r="J29" s="204">
        <v>0</v>
      </c>
    </row>
    <row r="30" spans="1:23" ht="20.25" customHeight="1" x14ac:dyDescent="0.35">
      <c r="A30" s="497" t="s">
        <v>1824</v>
      </c>
      <c r="B30" s="500" t="s">
        <v>1867</v>
      </c>
      <c r="C30" s="126" t="s">
        <v>111</v>
      </c>
      <c r="D30" s="210"/>
      <c r="E30" s="131"/>
      <c r="F30" s="211"/>
      <c r="G30" s="123"/>
      <c r="H30" s="203">
        <v>0</v>
      </c>
      <c r="I30" s="123">
        <v>0</v>
      </c>
      <c r="J30" s="204">
        <v>0</v>
      </c>
    </row>
    <row r="31" spans="1:23" ht="20.25" customHeight="1" x14ac:dyDescent="0.35">
      <c r="A31" s="497" t="s">
        <v>1824</v>
      </c>
      <c r="B31" s="500" t="s">
        <v>1869</v>
      </c>
      <c r="C31" s="126" t="s">
        <v>141</v>
      </c>
      <c r="D31" s="210" t="s">
        <v>1840</v>
      </c>
      <c r="E31" s="131"/>
      <c r="F31" s="211"/>
      <c r="G31" s="123"/>
      <c r="H31" s="203">
        <v>1</v>
      </c>
      <c r="I31" s="123">
        <v>0</v>
      </c>
      <c r="J31" s="204">
        <v>0</v>
      </c>
    </row>
    <row r="32" spans="1:23" ht="20.25" customHeight="1" x14ac:dyDescent="0.35">
      <c r="A32" s="497" t="s">
        <v>1824</v>
      </c>
      <c r="B32" s="500" t="s">
        <v>1870</v>
      </c>
      <c r="C32" s="126" t="s">
        <v>171</v>
      </c>
      <c r="D32" s="210" t="s">
        <v>1840</v>
      </c>
      <c r="E32" s="131"/>
      <c r="F32" s="211"/>
      <c r="G32" s="123"/>
      <c r="H32" s="203">
        <v>1</v>
      </c>
      <c r="I32" s="123">
        <v>0</v>
      </c>
      <c r="J32" s="204">
        <v>0</v>
      </c>
      <c r="L32" s="127"/>
    </row>
    <row r="33" spans="1:12" ht="20.25" customHeight="1" x14ac:dyDescent="0.35">
      <c r="A33" s="497" t="s">
        <v>1824</v>
      </c>
      <c r="B33" s="500" t="s">
        <v>1871</v>
      </c>
      <c r="C33" s="126" t="s">
        <v>201</v>
      </c>
      <c r="D33" s="210" t="s">
        <v>1840</v>
      </c>
      <c r="E33" s="131"/>
      <c r="F33" s="211"/>
      <c r="G33" s="123"/>
      <c r="H33" s="203">
        <v>1</v>
      </c>
      <c r="I33" s="123">
        <v>0</v>
      </c>
      <c r="J33" s="204">
        <v>0</v>
      </c>
      <c r="L33" s="127"/>
    </row>
    <row r="34" spans="1:12" ht="20.25" customHeight="1" x14ac:dyDescent="0.35">
      <c r="A34" s="497" t="s">
        <v>1824</v>
      </c>
      <c r="B34" s="500" t="s">
        <v>1872</v>
      </c>
      <c r="C34" s="126" t="s">
        <v>231</v>
      </c>
      <c r="D34" s="210"/>
      <c r="E34" s="131" t="s">
        <v>1840</v>
      </c>
      <c r="F34" s="211"/>
      <c r="G34" s="123"/>
      <c r="H34" s="203">
        <v>0</v>
      </c>
      <c r="I34" s="123">
        <v>1</v>
      </c>
      <c r="J34" s="204">
        <v>0</v>
      </c>
      <c r="L34" s="127"/>
    </row>
    <row r="35" spans="1:12" ht="20.25" customHeight="1" x14ac:dyDescent="0.35">
      <c r="A35" s="497" t="s">
        <v>1824</v>
      </c>
      <c r="B35" s="500" t="s">
        <v>1873</v>
      </c>
      <c r="C35" s="126" t="s">
        <v>24</v>
      </c>
      <c r="D35" s="210" t="s">
        <v>1840</v>
      </c>
      <c r="E35" s="131"/>
      <c r="F35" s="211"/>
      <c r="G35" s="123"/>
      <c r="H35" s="203">
        <v>1</v>
      </c>
      <c r="I35" s="123">
        <v>0</v>
      </c>
      <c r="J35" s="204">
        <v>0</v>
      </c>
      <c r="L35" s="127"/>
    </row>
    <row r="36" spans="1:12" ht="20.25" customHeight="1" x14ac:dyDescent="0.35">
      <c r="A36" s="497" t="s">
        <v>1824</v>
      </c>
      <c r="B36" s="500" t="s">
        <v>1874</v>
      </c>
      <c r="C36" s="126" t="s">
        <v>54</v>
      </c>
      <c r="D36" s="210" t="s">
        <v>1831</v>
      </c>
      <c r="E36" s="131" t="s">
        <v>1840</v>
      </c>
      <c r="F36" s="211" t="s">
        <v>1875</v>
      </c>
      <c r="G36" s="123"/>
      <c r="H36" s="203">
        <v>1</v>
      </c>
      <c r="I36" s="123">
        <v>1</v>
      </c>
      <c r="J36" s="204">
        <v>2</v>
      </c>
      <c r="L36" s="127"/>
    </row>
    <row r="37" spans="1:12" ht="20.25" customHeight="1" x14ac:dyDescent="0.35">
      <c r="A37" s="497" t="s">
        <v>1824</v>
      </c>
      <c r="B37" s="500" t="s">
        <v>1876</v>
      </c>
      <c r="C37" s="126" t="s">
        <v>84</v>
      </c>
      <c r="D37" s="210" t="s">
        <v>1877</v>
      </c>
      <c r="E37" s="131" t="s">
        <v>1878</v>
      </c>
      <c r="F37" s="211" t="s">
        <v>1875</v>
      </c>
      <c r="G37" s="123"/>
      <c r="H37" s="203">
        <v>2</v>
      </c>
      <c r="I37" s="123">
        <v>1</v>
      </c>
      <c r="J37" s="204">
        <v>2</v>
      </c>
    </row>
    <row r="38" spans="1:12" ht="20.25" customHeight="1" x14ac:dyDescent="0.35">
      <c r="A38" s="497" t="s">
        <v>1824</v>
      </c>
      <c r="B38" s="500" t="s">
        <v>1879</v>
      </c>
      <c r="C38" s="126" t="s">
        <v>114</v>
      </c>
      <c r="D38" s="210" t="s">
        <v>1840</v>
      </c>
      <c r="E38" s="131"/>
      <c r="F38" s="211"/>
      <c r="G38" s="123"/>
      <c r="H38" s="203">
        <v>1</v>
      </c>
      <c r="I38" s="123">
        <v>0</v>
      </c>
      <c r="J38" s="204">
        <v>0</v>
      </c>
    </row>
    <row r="39" spans="1:12" ht="20.25" customHeight="1" x14ac:dyDescent="0.35">
      <c r="A39" s="497" t="s">
        <v>1824</v>
      </c>
      <c r="B39" s="500" t="s">
        <v>1880</v>
      </c>
      <c r="C39" s="126" t="s">
        <v>144</v>
      </c>
      <c r="D39" s="210"/>
      <c r="E39" s="131"/>
      <c r="F39" s="211"/>
      <c r="G39" s="123"/>
      <c r="H39" s="203">
        <v>0</v>
      </c>
      <c r="I39" s="123">
        <v>0</v>
      </c>
      <c r="J39" s="204">
        <v>0</v>
      </c>
    </row>
    <row r="40" spans="1:12" ht="20.25" customHeight="1" x14ac:dyDescent="0.35">
      <c r="A40" s="497" t="s">
        <v>1824</v>
      </c>
      <c r="B40" s="500" t="s">
        <v>1881</v>
      </c>
      <c r="C40" s="126" t="s">
        <v>174</v>
      </c>
      <c r="D40" s="210"/>
      <c r="E40" s="504"/>
      <c r="F40" s="211"/>
      <c r="G40" s="198"/>
      <c r="H40" s="203">
        <v>0</v>
      </c>
      <c r="I40" s="123">
        <v>0</v>
      </c>
      <c r="J40" s="204">
        <v>0</v>
      </c>
    </row>
    <row r="41" spans="1:12" ht="20.25" customHeight="1" x14ac:dyDescent="0.35">
      <c r="A41" s="497" t="s">
        <v>1824</v>
      </c>
      <c r="B41" s="500" t="s">
        <v>1882</v>
      </c>
      <c r="C41" s="126" t="s">
        <v>204</v>
      </c>
      <c r="D41" s="210" t="s">
        <v>1830</v>
      </c>
      <c r="E41" s="131"/>
      <c r="F41" s="211"/>
      <c r="G41" s="123"/>
      <c r="H41" s="203">
        <v>2</v>
      </c>
      <c r="I41" s="123">
        <v>0</v>
      </c>
      <c r="J41" s="204">
        <v>0</v>
      </c>
    </row>
    <row r="42" spans="1:12" ht="20.25" customHeight="1" x14ac:dyDescent="0.35">
      <c r="A42" s="497" t="s">
        <v>1824</v>
      </c>
      <c r="B42" s="500" t="s">
        <v>1883</v>
      </c>
      <c r="C42" s="126" t="s">
        <v>234</v>
      </c>
      <c r="D42" s="210" t="s">
        <v>1831</v>
      </c>
      <c r="E42" s="131"/>
      <c r="F42" s="211"/>
      <c r="G42" s="123"/>
      <c r="H42" s="203">
        <v>1</v>
      </c>
      <c r="I42" s="123">
        <v>0</v>
      </c>
      <c r="J42" s="204">
        <v>0</v>
      </c>
    </row>
    <row r="43" spans="1:12" ht="20.25" customHeight="1" x14ac:dyDescent="0.35">
      <c r="A43" s="497" t="s">
        <v>1824</v>
      </c>
      <c r="B43" s="500" t="s">
        <v>1884</v>
      </c>
      <c r="C43" s="126" t="s">
        <v>27</v>
      </c>
      <c r="D43" s="210"/>
      <c r="E43" s="131" t="s">
        <v>1878</v>
      </c>
      <c r="F43" s="211"/>
      <c r="G43" s="123"/>
      <c r="H43" s="203">
        <v>0</v>
      </c>
      <c r="I43" s="123">
        <v>1</v>
      </c>
      <c r="J43" s="204">
        <v>0</v>
      </c>
    </row>
    <row r="44" spans="1:12" ht="20.25" customHeight="1" x14ac:dyDescent="0.35">
      <c r="A44" s="497" t="s">
        <v>1824</v>
      </c>
      <c r="B44" s="500" t="s">
        <v>1885</v>
      </c>
      <c r="C44" s="126" t="s">
        <v>57</v>
      </c>
      <c r="D44" s="210"/>
      <c r="E44" s="131"/>
      <c r="F44" s="211"/>
      <c r="G44" s="123"/>
      <c r="H44" s="203">
        <v>0</v>
      </c>
      <c r="I44" s="123">
        <v>0</v>
      </c>
      <c r="J44" s="204">
        <v>0</v>
      </c>
    </row>
    <row r="45" spans="1:12" ht="20.25" customHeight="1" x14ac:dyDescent="0.35">
      <c r="A45" s="497" t="s">
        <v>1824</v>
      </c>
      <c r="B45" s="500" t="s">
        <v>1886</v>
      </c>
      <c r="C45" s="126" t="s">
        <v>87</v>
      </c>
      <c r="D45" s="210"/>
      <c r="E45" s="131" t="s">
        <v>1831</v>
      </c>
      <c r="F45" s="211"/>
      <c r="G45" s="123"/>
      <c r="H45" s="203">
        <v>0</v>
      </c>
      <c r="I45" s="123">
        <v>1</v>
      </c>
      <c r="J45" s="204">
        <v>0</v>
      </c>
    </row>
    <row r="46" spans="1:12" ht="20.25" customHeight="1" x14ac:dyDescent="0.35">
      <c r="A46" s="497" t="s">
        <v>1824</v>
      </c>
      <c r="B46" s="500" t="s">
        <v>1887</v>
      </c>
      <c r="C46" s="126" t="s">
        <v>117</v>
      </c>
      <c r="D46" s="210" t="s">
        <v>1840</v>
      </c>
      <c r="E46" s="131"/>
      <c r="F46" s="211"/>
      <c r="G46" s="123"/>
      <c r="H46" s="203">
        <v>1</v>
      </c>
      <c r="I46" s="123">
        <v>0</v>
      </c>
      <c r="J46" s="204">
        <v>0</v>
      </c>
    </row>
    <row r="47" spans="1:12" ht="20.25" customHeight="1" x14ac:dyDescent="0.35">
      <c r="A47" s="497" t="s">
        <v>1824</v>
      </c>
      <c r="B47" s="500" t="s">
        <v>1888</v>
      </c>
      <c r="C47" s="126" t="s">
        <v>147</v>
      </c>
      <c r="D47" s="210"/>
      <c r="E47" s="131"/>
      <c r="F47" s="211"/>
      <c r="G47" s="123"/>
      <c r="H47" s="203">
        <v>0</v>
      </c>
      <c r="I47" s="123">
        <v>0</v>
      </c>
      <c r="J47" s="204">
        <v>0</v>
      </c>
    </row>
    <row r="48" spans="1:12" ht="20.25" customHeight="1" x14ac:dyDescent="0.35">
      <c r="A48" s="497" t="s">
        <v>1824</v>
      </c>
      <c r="B48" s="500" t="s">
        <v>1889</v>
      </c>
      <c r="C48" s="126" t="s">
        <v>177</v>
      </c>
      <c r="D48" s="210" t="s">
        <v>1840</v>
      </c>
      <c r="E48" s="131" t="s">
        <v>1831</v>
      </c>
      <c r="F48" s="211"/>
      <c r="G48" s="123"/>
      <c r="H48" s="203">
        <v>1</v>
      </c>
      <c r="I48" s="123">
        <v>1</v>
      </c>
      <c r="J48" s="204">
        <v>0</v>
      </c>
    </row>
    <row r="49" spans="1:10" ht="20.25" customHeight="1" x14ac:dyDescent="0.35">
      <c r="A49" s="497" t="s">
        <v>1824</v>
      </c>
      <c r="B49" s="500" t="s">
        <v>1890</v>
      </c>
      <c r="C49" s="126" t="s">
        <v>207</v>
      </c>
      <c r="D49" s="210"/>
      <c r="E49" s="504"/>
      <c r="F49" s="211"/>
      <c r="G49" s="198"/>
      <c r="H49" s="203">
        <v>0</v>
      </c>
      <c r="I49" s="123">
        <v>0</v>
      </c>
      <c r="J49" s="204">
        <v>0</v>
      </c>
    </row>
    <row r="50" spans="1:10" ht="20.25" customHeight="1" x14ac:dyDescent="0.35">
      <c r="A50" s="497" t="s">
        <v>1824</v>
      </c>
      <c r="B50" s="500" t="s">
        <v>1891</v>
      </c>
      <c r="C50" s="126" t="s">
        <v>237</v>
      </c>
      <c r="D50" s="210"/>
      <c r="E50" s="131"/>
      <c r="F50" s="211"/>
      <c r="G50" s="123"/>
      <c r="H50" s="203">
        <v>0</v>
      </c>
      <c r="I50" s="123">
        <v>0</v>
      </c>
      <c r="J50" s="204">
        <v>0</v>
      </c>
    </row>
    <row r="51" spans="1:10" ht="20.25" customHeight="1" x14ac:dyDescent="0.35">
      <c r="A51" s="497" t="s">
        <v>1824</v>
      </c>
      <c r="B51" s="500" t="s">
        <v>1892</v>
      </c>
      <c r="C51" s="126" t="s">
        <v>30</v>
      </c>
      <c r="D51" s="210"/>
      <c r="E51" s="131"/>
      <c r="F51" s="211"/>
      <c r="G51" s="123"/>
      <c r="H51" s="203">
        <v>0</v>
      </c>
      <c r="I51" s="123">
        <v>0</v>
      </c>
      <c r="J51" s="204">
        <v>0</v>
      </c>
    </row>
    <row r="52" spans="1:10" ht="20.25" customHeight="1" x14ac:dyDescent="0.35">
      <c r="A52" s="497" t="s">
        <v>1824</v>
      </c>
      <c r="B52" s="500" t="s">
        <v>1893</v>
      </c>
      <c r="C52" s="126" t="s">
        <v>60</v>
      </c>
      <c r="D52" s="210" t="s">
        <v>1840</v>
      </c>
      <c r="E52" s="131"/>
      <c r="F52" s="211"/>
      <c r="G52" s="123"/>
      <c r="H52" s="203">
        <v>1</v>
      </c>
      <c r="I52" s="123">
        <v>0</v>
      </c>
      <c r="J52" s="204">
        <v>0</v>
      </c>
    </row>
    <row r="53" spans="1:10" ht="20.25" customHeight="1" x14ac:dyDescent="0.35">
      <c r="A53" s="497" t="s">
        <v>1824</v>
      </c>
      <c r="B53" s="500" t="s">
        <v>1894</v>
      </c>
      <c r="C53" s="126" t="s">
        <v>90</v>
      </c>
      <c r="D53" s="210"/>
      <c r="E53" s="504"/>
      <c r="F53" s="211"/>
      <c r="G53" s="198"/>
      <c r="H53" s="203">
        <v>0</v>
      </c>
      <c r="I53" s="123">
        <v>0</v>
      </c>
      <c r="J53" s="204">
        <v>0</v>
      </c>
    </row>
    <row r="54" spans="1:10" ht="20.25" customHeight="1" x14ac:dyDescent="0.35">
      <c r="A54" s="497" t="s">
        <v>1824</v>
      </c>
      <c r="B54" s="500" t="s">
        <v>1895</v>
      </c>
      <c r="C54" s="126" t="s">
        <v>120</v>
      </c>
      <c r="D54" s="210"/>
      <c r="E54" s="131"/>
      <c r="F54" s="211"/>
      <c r="G54" s="123"/>
      <c r="H54" s="203">
        <v>0</v>
      </c>
      <c r="I54" s="123">
        <v>0</v>
      </c>
      <c r="J54" s="204">
        <v>0</v>
      </c>
    </row>
    <row r="55" spans="1:10" ht="20.25" customHeight="1" x14ac:dyDescent="0.35">
      <c r="A55" s="497" t="s">
        <v>1824</v>
      </c>
      <c r="B55" s="500" t="s">
        <v>1896</v>
      </c>
      <c r="C55" s="126" t="s">
        <v>150</v>
      </c>
      <c r="D55" s="210"/>
      <c r="E55" s="131"/>
      <c r="F55" s="211"/>
      <c r="G55" s="123"/>
      <c r="H55" s="203">
        <v>0</v>
      </c>
      <c r="I55" s="123">
        <v>0</v>
      </c>
      <c r="J55" s="204">
        <v>0</v>
      </c>
    </row>
    <row r="56" spans="1:10" ht="20.25" customHeight="1" x14ac:dyDescent="0.35">
      <c r="A56" s="497" t="s">
        <v>1824</v>
      </c>
      <c r="B56" s="500" t="s">
        <v>1897</v>
      </c>
      <c r="C56" s="126" t="s">
        <v>180</v>
      </c>
      <c r="D56" s="210"/>
      <c r="E56" s="131"/>
      <c r="F56" s="211"/>
      <c r="G56" s="123"/>
      <c r="H56" s="203">
        <v>0</v>
      </c>
      <c r="I56" s="123">
        <v>0</v>
      </c>
      <c r="J56" s="204">
        <v>0</v>
      </c>
    </row>
    <row r="57" spans="1:10" ht="20.25" customHeight="1" x14ac:dyDescent="0.35">
      <c r="A57" s="497" t="s">
        <v>1824</v>
      </c>
      <c r="B57" s="500" t="s">
        <v>1898</v>
      </c>
      <c r="C57" s="126" t="s">
        <v>210</v>
      </c>
      <c r="D57" s="210"/>
      <c r="E57" s="131"/>
      <c r="F57" s="211"/>
      <c r="G57" s="123"/>
      <c r="H57" s="203">
        <v>0</v>
      </c>
      <c r="I57" s="123">
        <v>0</v>
      </c>
      <c r="J57" s="204">
        <v>0</v>
      </c>
    </row>
    <row r="58" spans="1:10" ht="20.25" customHeight="1" x14ac:dyDescent="0.35">
      <c r="A58" s="497" t="s">
        <v>1824</v>
      </c>
      <c r="B58" s="500" t="s">
        <v>1899</v>
      </c>
      <c r="C58" s="126" t="s">
        <v>240</v>
      </c>
      <c r="D58" s="210"/>
      <c r="E58" s="131"/>
      <c r="F58" s="211"/>
      <c r="G58" s="123"/>
      <c r="H58" s="203">
        <v>0</v>
      </c>
      <c r="I58" s="123">
        <v>0</v>
      </c>
      <c r="J58" s="204">
        <v>0</v>
      </c>
    </row>
    <row r="59" spans="1:10" ht="20.25" customHeight="1" x14ac:dyDescent="0.35">
      <c r="A59" s="497" t="s">
        <v>1824</v>
      </c>
      <c r="B59" s="500" t="s">
        <v>1900</v>
      </c>
      <c r="C59" s="126" t="s">
        <v>33</v>
      </c>
      <c r="D59" s="210" t="s">
        <v>1830</v>
      </c>
      <c r="E59" s="504" t="s">
        <v>1901</v>
      </c>
      <c r="F59" s="211" t="s">
        <v>2025</v>
      </c>
      <c r="G59" s="198"/>
      <c r="H59" s="203">
        <v>2</v>
      </c>
      <c r="I59" s="123">
        <v>4</v>
      </c>
      <c r="J59" s="204">
        <v>4</v>
      </c>
    </row>
    <row r="60" spans="1:10" ht="20.25" customHeight="1" x14ac:dyDescent="0.35">
      <c r="A60" s="497" t="s">
        <v>1824</v>
      </c>
      <c r="B60" s="500" t="s">
        <v>1902</v>
      </c>
      <c r="C60" s="126" t="s">
        <v>63</v>
      </c>
      <c r="D60" s="210" t="s">
        <v>1903</v>
      </c>
      <c r="E60" s="131" t="s">
        <v>1830</v>
      </c>
      <c r="F60" s="211" t="s">
        <v>1855</v>
      </c>
      <c r="G60" s="123"/>
      <c r="H60" s="203">
        <v>3</v>
      </c>
      <c r="I60" s="123">
        <v>2</v>
      </c>
      <c r="J60" s="204">
        <v>4</v>
      </c>
    </row>
    <row r="61" spans="1:10" ht="20.25" customHeight="1" x14ac:dyDescent="0.35">
      <c r="A61" s="497" t="s">
        <v>1824</v>
      </c>
      <c r="B61" s="500" t="s">
        <v>1904</v>
      </c>
      <c r="C61" s="126" t="s">
        <v>93</v>
      </c>
      <c r="D61" s="210"/>
      <c r="E61" s="131"/>
      <c r="F61" s="211"/>
      <c r="G61" s="123"/>
      <c r="H61" s="203">
        <v>0</v>
      </c>
      <c r="I61" s="123">
        <v>0</v>
      </c>
      <c r="J61" s="204">
        <v>0</v>
      </c>
    </row>
    <row r="62" spans="1:10" ht="20.25" customHeight="1" x14ac:dyDescent="0.35">
      <c r="A62" s="497" t="s">
        <v>1824</v>
      </c>
      <c r="B62" s="500" t="s">
        <v>1905</v>
      </c>
      <c r="C62" s="126" t="s">
        <v>123</v>
      </c>
      <c r="D62" s="210" t="s">
        <v>1836</v>
      </c>
      <c r="E62" s="507" t="s">
        <v>1856</v>
      </c>
      <c r="F62" s="505" t="s">
        <v>1856</v>
      </c>
      <c r="G62" s="123"/>
      <c r="H62" s="203">
        <v>2</v>
      </c>
      <c r="I62" s="123">
        <v>4</v>
      </c>
      <c r="J62" s="204">
        <v>4</v>
      </c>
    </row>
    <row r="63" spans="1:10" ht="20.25" customHeight="1" x14ac:dyDescent="0.35">
      <c r="A63" s="497" t="s">
        <v>1824</v>
      </c>
      <c r="B63" s="500" t="s">
        <v>1906</v>
      </c>
      <c r="C63" s="126" t="s">
        <v>153</v>
      </c>
      <c r="D63" s="210"/>
      <c r="E63" s="504"/>
      <c r="F63" s="211" t="s">
        <v>1907</v>
      </c>
      <c r="G63" s="198"/>
      <c r="H63" s="203">
        <v>0</v>
      </c>
      <c r="I63" s="123">
        <v>0</v>
      </c>
      <c r="J63" s="204">
        <v>1</v>
      </c>
    </row>
    <row r="64" spans="1:10" ht="20.25" customHeight="1" x14ac:dyDescent="0.35">
      <c r="A64" s="497" t="s">
        <v>1824</v>
      </c>
      <c r="B64" s="500" t="s">
        <v>1908</v>
      </c>
      <c r="C64" s="126" t="s">
        <v>183</v>
      </c>
      <c r="D64" s="210" t="s">
        <v>1836</v>
      </c>
      <c r="E64" s="131"/>
      <c r="F64" s="211" t="s">
        <v>1909</v>
      </c>
      <c r="G64" s="123"/>
      <c r="H64" s="203">
        <v>2</v>
      </c>
      <c r="I64" s="123">
        <v>0</v>
      </c>
      <c r="J64" s="204">
        <v>1</v>
      </c>
    </row>
    <row r="65" spans="1:10" ht="20.25" customHeight="1" x14ac:dyDescent="0.35">
      <c r="A65" s="497" t="s">
        <v>1824</v>
      </c>
      <c r="B65" s="500" t="s">
        <v>1910</v>
      </c>
      <c r="C65" s="126" t="s">
        <v>213</v>
      </c>
      <c r="D65" s="210"/>
      <c r="E65" s="131"/>
      <c r="F65" s="211"/>
      <c r="G65" s="123"/>
      <c r="H65" s="203">
        <v>0</v>
      </c>
      <c r="I65" s="123">
        <v>0</v>
      </c>
      <c r="J65" s="204">
        <v>0</v>
      </c>
    </row>
    <row r="66" spans="1:10" ht="20.25" customHeight="1" x14ac:dyDescent="0.35">
      <c r="A66" s="497" t="s">
        <v>1824</v>
      </c>
      <c r="B66" s="500" t="s">
        <v>1911</v>
      </c>
      <c r="C66" s="126" t="s">
        <v>243</v>
      </c>
      <c r="D66" s="210" t="s">
        <v>1836</v>
      </c>
      <c r="E66" s="507" t="s">
        <v>1856</v>
      </c>
      <c r="F66" s="505" t="s">
        <v>1856</v>
      </c>
      <c r="G66" s="123"/>
      <c r="H66" s="203">
        <v>2</v>
      </c>
      <c r="I66" s="123">
        <v>4</v>
      </c>
      <c r="J66" s="204">
        <v>4</v>
      </c>
    </row>
    <row r="67" spans="1:10" ht="20.25" customHeight="1" x14ac:dyDescent="0.35">
      <c r="A67" s="497" t="s">
        <v>1824</v>
      </c>
      <c r="B67" s="500" t="s">
        <v>35</v>
      </c>
      <c r="C67" s="126" t="s">
        <v>36</v>
      </c>
      <c r="D67" s="210"/>
      <c r="E67" s="131"/>
      <c r="F67" s="211"/>
      <c r="G67" s="123"/>
      <c r="H67" s="203">
        <v>0</v>
      </c>
      <c r="I67" s="123">
        <v>0</v>
      </c>
      <c r="J67" s="204">
        <v>0</v>
      </c>
    </row>
    <row r="68" spans="1:10" ht="20.25" customHeight="1" x14ac:dyDescent="0.35">
      <c r="A68" s="497" t="s">
        <v>1824</v>
      </c>
      <c r="B68" s="500" t="s">
        <v>65</v>
      </c>
      <c r="C68" s="126" t="s">
        <v>66</v>
      </c>
      <c r="D68" s="210"/>
      <c r="E68" s="131" t="s">
        <v>1912</v>
      </c>
      <c r="F68" s="505" t="s">
        <v>1856</v>
      </c>
      <c r="G68" s="123"/>
      <c r="H68" s="203">
        <v>0</v>
      </c>
      <c r="I68" s="123">
        <v>4</v>
      </c>
      <c r="J68" s="204">
        <v>4</v>
      </c>
    </row>
    <row r="69" spans="1:10" ht="20.25" customHeight="1" x14ac:dyDescent="0.35">
      <c r="A69" s="497" t="s">
        <v>1824</v>
      </c>
      <c r="B69" s="500" t="s">
        <v>95</v>
      </c>
      <c r="C69" s="126" t="s">
        <v>96</v>
      </c>
      <c r="D69" s="210"/>
      <c r="E69" s="131"/>
      <c r="F69" s="211"/>
      <c r="G69" s="123"/>
      <c r="H69" s="203">
        <v>0</v>
      </c>
      <c r="I69" s="123">
        <v>0</v>
      </c>
      <c r="J69" s="204">
        <v>0</v>
      </c>
    </row>
    <row r="70" spans="1:10" ht="20.25" customHeight="1" x14ac:dyDescent="0.35">
      <c r="A70" s="497" t="s">
        <v>1824</v>
      </c>
      <c r="B70" s="500" t="s">
        <v>125</v>
      </c>
      <c r="C70" s="126" t="s">
        <v>126</v>
      </c>
      <c r="D70" s="210"/>
      <c r="E70" s="131"/>
      <c r="F70" s="211"/>
      <c r="G70" s="123"/>
      <c r="H70" s="203">
        <v>0</v>
      </c>
      <c r="I70" s="123">
        <v>0</v>
      </c>
      <c r="J70" s="204">
        <v>0</v>
      </c>
    </row>
    <row r="71" spans="1:10" ht="20.25" customHeight="1" x14ac:dyDescent="0.35">
      <c r="A71" s="497" t="s">
        <v>1824</v>
      </c>
      <c r="B71" s="500" t="s">
        <v>155</v>
      </c>
      <c r="C71" s="126" t="s">
        <v>156</v>
      </c>
      <c r="D71" s="210"/>
      <c r="E71" s="131"/>
      <c r="F71" s="211"/>
      <c r="G71" s="123"/>
      <c r="H71" s="203">
        <v>0</v>
      </c>
      <c r="I71" s="123">
        <v>0</v>
      </c>
      <c r="J71" s="204">
        <v>0</v>
      </c>
    </row>
    <row r="72" spans="1:10" ht="20.25" customHeight="1" x14ac:dyDescent="0.35">
      <c r="A72" s="497" t="s">
        <v>1824</v>
      </c>
      <c r="B72" s="500" t="s">
        <v>185</v>
      </c>
      <c r="C72" s="126" t="s">
        <v>186</v>
      </c>
      <c r="D72" s="210" t="s">
        <v>1878</v>
      </c>
      <c r="E72" s="131" t="s">
        <v>1909</v>
      </c>
      <c r="F72" s="211"/>
      <c r="G72" s="123"/>
      <c r="H72" s="203">
        <v>1</v>
      </c>
      <c r="I72" s="123">
        <v>1</v>
      </c>
      <c r="J72" s="204">
        <v>0</v>
      </c>
    </row>
    <row r="73" spans="1:10" ht="20.25" customHeight="1" x14ac:dyDescent="0.35">
      <c r="A73" s="497" t="s">
        <v>1824</v>
      </c>
      <c r="B73" s="500" t="s">
        <v>215</v>
      </c>
      <c r="C73" s="126" t="s">
        <v>216</v>
      </c>
      <c r="D73" s="210" t="s">
        <v>1913</v>
      </c>
      <c r="E73" s="131" t="s">
        <v>1855</v>
      </c>
      <c r="F73" s="211" t="s">
        <v>1927</v>
      </c>
      <c r="G73" s="123"/>
      <c r="H73" s="203">
        <v>4</v>
      </c>
      <c r="I73" s="123">
        <v>4</v>
      </c>
      <c r="J73" s="204">
        <v>4</v>
      </c>
    </row>
    <row r="74" spans="1:10" ht="20.25" customHeight="1" x14ac:dyDescent="0.35">
      <c r="A74" s="497" t="s">
        <v>1824</v>
      </c>
      <c r="B74" s="500" t="s">
        <v>245</v>
      </c>
      <c r="C74" s="126" t="s">
        <v>246</v>
      </c>
      <c r="D74" s="508"/>
      <c r="E74" s="504"/>
      <c r="F74" s="509"/>
      <c r="G74" s="128"/>
      <c r="H74" s="203">
        <v>0</v>
      </c>
      <c r="I74" s="123">
        <v>0</v>
      </c>
      <c r="J74" s="204">
        <v>0</v>
      </c>
    </row>
    <row r="75" spans="1:10" ht="20.25" customHeight="1" x14ac:dyDescent="0.35">
      <c r="A75" s="497" t="s">
        <v>1824</v>
      </c>
      <c r="B75" s="500" t="s">
        <v>38</v>
      </c>
      <c r="C75" s="126" t="s">
        <v>39</v>
      </c>
      <c r="D75" s="210"/>
      <c r="E75" s="504"/>
      <c r="F75" s="211"/>
      <c r="G75" s="198"/>
      <c r="H75" s="203">
        <v>0</v>
      </c>
      <c r="I75" s="123">
        <v>0</v>
      </c>
      <c r="J75" s="204">
        <v>0</v>
      </c>
    </row>
    <row r="76" spans="1:10" ht="20.25" customHeight="1" x14ac:dyDescent="0.35">
      <c r="A76" s="497" t="s">
        <v>1824</v>
      </c>
      <c r="B76" s="500" t="s">
        <v>68</v>
      </c>
      <c r="C76" s="126" t="s">
        <v>69</v>
      </c>
      <c r="D76" s="210" t="s">
        <v>1915</v>
      </c>
      <c r="E76" s="131" t="s">
        <v>1830</v>
      </c>
      <c r="F76" s="211" t="s">
        <v>903</v>
      </c>
      <c r="G76" s="198"/>
      <c r="H76" s="203">
        <v>2</v>
      </c>
      <c r="I76" s="123">
        <v>2</v>
      </c>
      <c r="J76" s="204">
        <v>1</v>
      </c>
    </row>
    <row r="77" spans="1:10" ht="20.25" customHeight="1" x14ac:dyDescent="0.35">
      <c r="A77" s="497" t="s">
        <v>1824</v>
      </c>
      <c r="B77" s="500" t="s">
        <v>98</v>
      </c>
      <c r="C77" s="126" t="s">
        <v>99</v>
      </c>
      <c r="D77" s="210"/>
      <c r="E77" s="131"/>
      <c r="F77" s="211"/>
      <c r="G77" s="123"/>
      <c r="H77" s="203">
        <v>0</v>
      </c>
      <c r="I77" s="123">
        <v>0</v>
      </c>
      <c r="J77" s="204">
        <v>0</v>
      </c>
    </row>
    <row r="78" spans="1:10" ht="20.25" customHeight="1" x14ac:dyDescent="0.35">
      <c r="A78" s="497" t="s">
        <v>1824</v>
      </c>
      <c r="B78" s="500" t="s">
        <v>128</v>
      </c>
      <c r="C78" s="126" t="s">
        <v>129</v>
      </c>
      <c r="D78" s="210"/>
      <c r="E78" s="131"/>
      <c r="F78" s="211"/>
      <c r="G78" s="123"/>
      <c r="H78" s="203">
        <v>0</v>
      </c>
      <c r="I78" s="123">
        <v>0</v>
      </c>
      <c r="J78" s="204">
        <v>0</v>
      </c>
    </row>
    <row r="79" spans="1:10" ht="20.25" customHeight="1" x14ac:dyDescent="0.35">
      <c r="A79" s="497" t="s">
        <v>1824</v>
      </c>
      <c r="B79" s="500" t="s">
        <v>158</v>
      </c>
      <c r="C79" s="126" t="s">
        <v>159</v>
      </c>
      <c r="D79" s="210" t="s">
        <v>1916</v>
      </c>
      <c r="E79" s="131" t="s">
        <v>1917</v>
      </c>
      <c r="F79" s="211" t="s">
        <v>1917</v>
      </c>
      <c r="G79" s="198"/>
      <c r="H79" s="203">
        <v>2</v>
      </c>
      <c r="I79" s="123">
        <v>4</v>
      </c>
      <c r="J79" s="204">
        <v>4</v>
      </c>
    </row>
    <row r="80" spans="1:10" ht="20.25" customHeight="1" x14ac:dyDescent="0.35">
      <c r="A80" s="497" t="s">
        <v>1824</v>
      </c>
      <c r="B80" s="500" t="s">
        <v>188</v>
      </c>
      <c r="C80" s="126" t="s">
        <v>189</v>
      </c>
      <c r="D80" s="210" t="s">
        <v>1840</v>
      </c>
      <c r="E80" s="504"/>
      <c r="F80" s="211"/>
      <c r="G80" s="198"/>
      <c r="H80" s="203">
        <v>1</v>
      </c>
      <c r="I80" s="123">
        <v>0</v>
      </c>
      <c r="J80" s="204">
        <v>0</v>
      </c>
    </row>
    <row r="81" spans="1:10" ht="20.25" customHeight="1" x14ac:dyDescent="0.35">
      <c r="A81" s="497" t="s">
        <v>1824</v>
      </c>
      <c r="B81" s="500" t="s">
        <v>218</v>
      </c>
      <c r="C81" s="126" t="s">
        <v>219</v>
      </c>
      <c r="D81" s="210"/>
      <c r="E81" s="504"/>
      <c r="F81" s="211"/>
      <c r="G81" s="198"/>
      <c r="H81" s="203">
        <v>0</v>
      </c>
      <c r="I81" s="123">
        <v>0</v>
      </c>
      <c r="J81" s="204">
        <v>0</v>
      </c>
    </row>
    <row r="82" spans="1:10" ht="20.25" customHeight="1" thickBot="1" x14ac:dyDescent="0.4">
      <c r="A82" s="497" t="s">
        <v>1824</v>
      </c>
      <c r="B82" s="510" t="s">
        <v>248</v>
      </c>
      <c r="C82" s="199" t="s">
        <v>249</v>
      </c>
      <c r="D82" s="210"/>
      <c r="E82" s="504"/>
      <c r="F82" s="211"/>
      <c r="G82" s="198"/>
      <c r="H82" s="203">
        <v>0</v>
      </c>
      <c r="I82" s="123">
        <v>0</v>
      </c>
      <c r="J82" s="204">
        <v>0</v>
      </c>
    </row>
    <row r="83" spans="1:10" ht="20.25" customHeight="1" x14ac:dyDescent="0.35">
      <c r="A83" s="497" t="s">
        <v>1918</v>
      </c>
      <c r="B83" s="500" t="s">
        <v>1825</v>
      </c>
      <c r="C83" s="126" t="s">
        <v>252</v>
      </c>
      <c r="D83" s="210"/>
      <c r="E83" s="131" t="s">
        <v>1914</v>
      </c>
      <c r="F83" s="211" t="s">
        <v>1830</v>
      </c>
      <c r="G83" s="123"/>
      <c r="H83" s="203">
        <v>0</v>
      </c>
      <c r="I83" s="123">
        <v>3</v>
      </c>
      <c r="J83" s="204">
        <v>2</v>
      </c>
    </row>
    <row r="84" spans="1:10" ht="20.25" customHeight="1" x14ac:dyDescent="0.35">
      <c r="A84" s="497" t="s">
        <v>1918</v>
      </c>
      <c r="B84" s="500" t="s">
        <v>1826</v>
      </c>
      <c r="C84" s="126" t="s">
        <v>272</v>
      </c>
      <c r="D84" s="210"/>
      <c r="E84" s="131"/>
      <c r="F84" s="211"/>
      <c r="G84" s="123"/>
      <c r="H84" s="203">
        <v>0</v>
      </c>
      <c r="I84" s="123">
        <v>0</v>
      </c>
      <c r="J84" s="204">
        <v>0</v>
      </c>
    </row>
    <row r="85" spans="1:10" ht="20.25" customHeight="1" x14ac:dyDescent="0.35">
      <c r="A85" s="497" t="s">
        <v>1918</v>
      </c>
      <c r="B85" s="500" t="s">
        <v>1827</v>
      </c>
      <c r="C85" s="126" t="s">
        <v>293</v>
      </c>
      <c r="D85" s="210" t="s">
        <v>1877</v>
      </c>
      <c r="E85" s="131"/>
      <c r="F85" s="211"/>
      <c r="G85" s="123"/>
      <c r="H85" s="203">
        <v>2</v>
      </c>
      <c r="I85" s="123">
        <v>0</v>
      </c>
      <c r="J85" s="204">
        <v>0</v>
      </c>
    </row>
    <row r="86" spans="1:10" ht="20.25" customHeight="1" x14ac:dyDescent="0.35">
      <c r="A86" s="497" t="s">
        <v>1918</v>
      </c>
      <c r="B86" s="500" t="s">
        <v>1828</v>
      </c>
      <c r="C86" s="126" t="s">
        <v>313</v>
      </c>
      <c r="D86" s="210"/>
      <c r="E86" s="131"/>
      <c r="F86" s="211"/>
      <c r="G86" s="123"/>
      <c r="H86" s="203">
        <v>0</v>
      </c>
      <c r="I86" s="123">
        <v>0</v>
      </c>
      <c r="J86" s="204">
        <v>0</v>
      </c>
    </row>
    <row r="87" spans="1:10" ht="20.25" customHeight="1" x14ac:dyDescent="0.35">
      <c r="A87" s="497" t="s">
        <v>1918</v>
      </c>
      <c r="B87" s="500" t="s">
        <v>1829</v>
      </c>
      <c r="C87" s="126" t="s">
        <v>333</v>
      </c>
      <c r="D87" s="210"/>
      <c r="E87" s="504"/>
      <c r="F87" s="211"/>
      <c r="G87" s="198"/>
      <c r="H87" s="203">
        <v>0</v>
      </c>
      <c r="I87" s="123">
        <v>0</v>
      </c>
      <c r="J87" s="204">
        <v>0</v>
      </c>
    </row>
    <row r="88" spans="1:10" ht="20.25" customHeight="1" x14ac:dyDescent="0.35">
      <c r="A88" s="497" t="s">
        <v>1918</v>
      </c>
      <c r="B88" s="500" t="s">
        <v>1832</v>
      </c>
      <c r="C88" s="126" t="s">
        <v>353</v>
      </c>
      <c r="D88" s="210"/>
      <c r="E88" s="504"/>
      <c r="F88" s="211"/>
      <c r="G88" s="198"/>
      <c r="H88" s="203">
        <v>0</v>
      </c>
      <c r="I88" s="123">
        <v>0</v>
      </c>
      <c r="J88" s="204">
        <v>0</v>
      </c>
    </row>
    <row r="89" spans="1:10" ht="20.25" customHeight="1" x14ac:dyDescent="0.35">
      <c r="A89" s="497" t="s">
        <v>1918</v>
      </c>
      <c r="B89" s="500" t="s">
        <v>1833</v>
      </c>
      <c r="C89" s="126" t="s">
        <v>373</v>
      </c>
      <c r="D89" s="210" t="s">
        <v>1831</v>
      </c>
      <c r="E89" s="131"/>
      <c r="F89" s="211"/>
      <c r="G89" s="123"/>
      <c r="H89" s="203">
        <v>1</v>
      </c>
      <c r="I89" s="123">
        <v>0</v>
      </c>
      <c r="J89" s="204">
        <v>0</v>
      </c>
    </row>
    <row r="90" spans="1:10" ht="20.25" customHeight="1" x14ac:dyDescent="0.35">
      <c r="A90" s="497" t="s">
        <v>1918</v>
      </c>
      <c r="B90" s="500" t="s">
        <v>1834</v>
      </c>
      <c r="C90" s="126" t="s">
        <v>393</v>
      </c>
      <c r="D90" s="210" t="s">
        <v>1919</v>
      </c>
      <c r="E90" s="131" t="s">
        <v>1855</v>
      </c>
      <c r="F90" s="211" t="s">
        <v>1920</v>
      </c>
      <c r="G90" s="123"/>
      <c r="H90" s="203">
        <v>3</v>
      </c>
      <c r="I90" s="123">
        <v>4</v>
      </c>
      <c r="J90" s="204">
        <v>4</v>
      </c>
    </row>
    <row r="91" spans="1:10" ht="20.25" customHeight="1" x14ac:dyDescent="0.35">
      <c r="A91" s="497" t="s">
        <v>1918</v>
      </c>
      <c r="B91" s="500" t="s">
        <v>1835</v>
      </c>
      <c r="C91" s="126" t="s">
        <v>254</v>
      </c>
      <c r="D91" s="210"/>
      <c r="E91" s="131"/>
      <c r="F91" s="211"/>
      <c r="G91" s="123"/>
      <c r="H91" s="203">
        <v>0</v>
      </c>
      <c r="I91" s="123">
        <v>0</v>
      </c>
      <c r="J91" s="204">
        <v>0</v>
      </c>
    </row>
    <row r="92" spans="1:10" ht="20.25" customHeight="1" x14ac:dyDescent="0.35">
      <c r="A92" s="497" t="s">
        <v>1918</v>
      </c>
      <c r="B92" s="500" t="s">
        <v>1838</v>
      </c>
      <c r="C92" s="126" t="s">
        <v>274</v>
      </c>
      <c r="D92" s="210"/>
      <c r="E92" s="504"/>
      <c r="F92" s="211"/>
      <c r="G92" s="198"/>
      <c r="H92" s="203">
        <v>0</v>
      </c>
      <c r="I92" s="123">
        <v>0</v>
      </c>
      <c r="J92" s="204">
        <v>0</v>
      </c>
    </row>
    <row r="93" spans="1:10" ht="20.25" customHeight="1" x14ac:dyDescent="0.35">
      <c r="A93" s="497" t="s">
        <v>1918</v>
      </c>
      <c r="B93" s="500" t="s">
        <v>1839</v>
      </c>
      <c r="C93" s="126" t="s">
        <v>295</v>
      </c>
      <c r="D93" s="210"/>
      <c r="E93" s="131"/>
      <c r="F93" s="211"/>
      <c r="G93" s="123"/>
      <c r="H93" s="203">
        <v>0</v>
      </c>
      <c r="I93" s="123">
        <v>0</v>
      </c>
      <c r="J93" s="204">
        <v>0</v>
      </c>
    </row>
    <row r="94" spans="1:10" ht="20.25" customHeight="1" x14ac:dyDescent="0.35">
      <c r="A94" s="497" t="s">
        <v>1918</v>
      </c>
      <c r="B94" s="500" t="s">
        <v>1841</v>
      </c>
      <c r="C94" s="126" t="s">
        <v>315</v>
      </c>
      <c r="D94" s="210"/>
      <c r="E94" s="131"/>
      <c r="F94" s="211"/>
      <c r="G94" s="123"/>
      <c r="H94" s="203">
        <v>0</v>
      </c>
      <c r="I94" s="123">
        <v>0</v>
      </c>
      <c r="J94" s="204">
        <v>0</v>
      </c>
    </row>
    <row r="95" spans="1:10" ht="20.25" customHeight="1" x14ac:dyDescent="0.35">
      <c r="A95" s="497" t="s">
        <v>1918</v>
      </c>
      <c r="B95" s="500" t="s">
        <v>1842</v>
      </c>
      <c r="C95" s="126" t="s">
        <v>335</v>
      </c>
      <c r="D95" s="210"/>
      <c r="E95" s="131"/>
      <c r="F95" s="211"/>
      <c r="G95" s="123"/>
      <c r="H95" s="203">
        <v>0</v>
      </c>
      <c r="I95" s="123">
        <v>0</v>
      </c>
      <c r="J95" s="204">
        <v>0</v>
      </c>
    </row>
    <row r="96" spans="1:10" ht="20.25" customHeight="1" x14ac:dyDescent="0.35">
      <c r="A96" s="497" t="s">
        <v>1918</v>
      </c>
      <c r="B96" s="500" t="s">
        <v>1843</v>
      </c>
      <c r="C96" s="126" t="s">
        <v>355</v>
      </c>
      <c r="D96" s="210" t="s">
        <v>1921</v>
      </c>
      <c r="E96" s="131" t="s">
        <v>1855</v>
      </c>
      <c r="F96" s="211" t="s">
        <v>1920</v>
      </c>
      <c r="G96" s="123"/>
      <c r="H96" s="203">
        <v>3</v>
      </c>
      <c r="I96" s="123">
        <v>4</v>
      </c>
      <c r="J96" s="204">
        <v>4</v>
      </c>
    </row>
    <row r="97" spans="1:10" ht="20.25" customHeight="1" x14ac:dyDescent="0.35">
      <c r="A97" s="497" t="s">
        <v>1918</v>
      </c>
      <c r="B97" s="500" t="s">
        <v>1845</v>
      </c>
      <c r="C97" s="126" t="s">
        <v>375</v>
      </c>
      <c r="D97" s="210" t="s">
        <v>1836</v>
      </c>
      <c r="E97" s="131" t="s">
        <v>1855</v>
      </c>
      <c r="F97" s="211" t="s">
        <v>1855</v>
      </c>
      <c r="G97" s="123"/>
      <c r="H97" s="203">
        <v>2</v>
      </c>
      <c r="I97" s="123">
        <v>4</v>
      </c>
      <c r="J97" s="204">
        <v>4</v>
      </c>
    </row>
    <row r="98" spans="1:10" ht="20.25" customHeight="1" x14ac:dyDescent="0.35">
      <c r="A98" s="497" t="s">
        <v>1918</v>
      </c>
      <c r="B98" s="500" t="s">
        <v>1846</v>
      </c>
      <c r="C98" s="126" t="s">
        <v>395</v>
      </c>
      <c r="D98" s="210" t="s">
        <v>1855</v>
      </c>
      <c r="E98" s="507" t="s">
        <v>1856</v>
      </c>
      <c r="F98" s="505" t="s">
        <v>1856</v>
      </c>
      <c r="G98" s="123"/>
      <c r="H98" s="203">
        <v>4</v>
      </c>
      <c r="I98" s="123">
        <v>4</v>
      </c>
      <c r="J98" s="204">
        <v>4</v>
      </c>
    </row>
    <row r="99" spans="1:10" ht="20.25" customHeight="1" x14ac:dyDescent="0.35">
      <c r="A99" s="497" t="s">
        <v>1918</v>
      </c>
      <c r="B99" s="500" t="s">
        <v>1848</v>
      </c>
      <c r="C99" s="126" t="s">
        <v>256</v>
      </c>
      <c r="D99" s="210"/>
      <c r="E99" s="131"/>
      <c r="F99" s="211"/>
      <c r="G99" s="123"/>
      <c r="H99" s="203">
        <v>0</v>
      </c>
      <c r="I99" s="123">
        <v>0</v>
      </c>
      <c r="J99" s="204">
        <v>0</v>
      </c>
    </row>
    <row r="100" spans="1:10" ht="20.25" customHeight="1" x14ac:dyDescent="0.35">
      <c r="A100" s="497" t="s">
        <v>1918</v>
      </c>
      <c r="B100" s="500" t="s">
        <v>1850</v>
      </c>
      <c r="C100" s="126" t="s">
        <v>276</v>
      </c>
      <c r="D100" s="210" t="s">
        <v>1922</v>
      </c>
      <c r="E100" s="131" t="s">
        <v>1922</v>
      </c>
      <c r="F100" s="211" t="s">
        <v>1855</v>
      </c>
      <c r="G100" s="123"/>
      <c r="H100" s="203">
        <v>4</v>
      </c>
      <c r="I100" s="123">
        <v>4</v>
      </c>
      <c r="J100" s="204">
        <v>4</v>
      </c>
    </row>
    <row r="101" spans="1:10" ht="20.25" customHeight="1" x14ac:dyDescent="0.35">
      <c r="A101" s="497" t="s">
        <v>1918</v>
      </c>
      <c r="B101" s="500" t="s">
        <v>1852</v>
      </c>
      <c r="C101" s="126" t="s">
        <v>297</v>
      </c>
      <c r="D101" s="210" t="s">
        <v>1920</v>
      </c>
      <c r="E101" s="131" t="s">
        <v>1920</v>
      </c>
      <c r="F101" s="211" t="s">
        <v>1920</v>
      </c>
      <c r="G101" s="123"/>
      <c r="H101" s="203">
        <v>4</v>
      </c>
      <c r="I101" s="123">
        <v>4</v>
      </c>
      <c r="J101" s="204">
        <v>4</v>
      </c>
    </row>
    <row r="102" spans="1:10" ht="20.25" customHeight="1" x14ac:dyDescent="0.35">
      <c r="A102" s="497" t="s">
        <v>1918</v>
      </c>
      <c r="B102" s="500" t="s">
        <v>1854</v>
      </c>
      <c r="C102" s="126" t="s">
        <v>317</v>
      </c>
      <c r="D102" s="210"/>
      <c r="E102" s="131"/>
      <c r="F102" s="211"/>
      <c r="G102" s="123"/>
      <c r="H102" s="203">
        <v>0</v>
      </c>
      <c r="I102" s="123">
        <v>0</v>
      </c>
      <c r="J102" s="204">
        <v>0</v>
      </c>
    </row>
    <row r="103" spans="1:10" ht="20.25" customHeight="1" x14ac:dyDescent="0.35">
      <c r="A103" s="497" t="s">
        <v>1918</v>
      </c>
      <c r="B103" s="500" t="s">
        <v>1858</v>
      </c>
      <c r="C103" s="126" t="s">
        <v>337</v>
      </c>
      <c r="D103" s="210"/>
      <c r="E103" s="131"/>
      <c r="F103" s="211"/>
      <c r="G103" s="123"/>
      <c r="H103" s="203">
        <v>0</v>
      </c>
      <c r="I103" s="123">
        <v>0</v>
      </c>
      <c r="J103" s="204">
        <v>0</v>
      </c>
    </row>
    <row r="104" spans="1:10" ht="20.25" customHeight="1" x14ac:dyDescent="0.35">
      <c r="A104" s="497" t="s">
        <v>1918</v>
      </c>
      <c r="B104" s="500" t="s">
        <v>1860</v>
      </c>
      <c r="C104" s="126" t="s">
        <v>357</v>
      </c>
      <c r="D104" s="210"/>
      <c r="E104" s="131"/>
      <c r="F104" s="211"/>
      <c r="G104" s="123"/>
      <c r="H104" s="203">
        <v>0</v>
      </c>
      <c r="I104" s="123">
        <v>0</v>
      </c>
      <c r="J104" s="204">
        <v>0</v>
      </c>
    </row>
    <row r="105" spans="1:10" ht="20.25" customHeight="1" x14ac:dyDescent="0.35">
      <c r="A105" s="497" t="s">
        <v>1918</v>
      </c>
      <c r="B105" s="500" t="s">
        <v>1862</v>
      </c>
      <c r="C105" s="126" t="s">
        <v>377</v>
      </c>
      <c r="D105" s="210"/>
      <c r="E105" s="131"/>
      <c r="F105" s="211"/>
      <c r="G105" s="123"/>
      <c r="H105" s="203">
        <v>0</v>
      </c>
      <c r="I105" s="123">
        <v>0</v>
      </c>
      <c r="J105" s="204">
        <v>0</v>
      </c>
    </row>
    <row r="106" spans="1:10" ht="20.25" customHeight="1" x14ac:dyDescent="0.35">
      <c r="A106" s="497" t="s">
        <v>1918</v>
      </c>
      <c r="B106" s="500" t="s">
        <v>1863</v>
      </c>
      <c r="C106" s="126" t="s">
        <v>398</v>
      </c>
      <c r="D106" s="210"/>
      <c r="E106" s="131"/>
      <c r="F106" s="211"/>
      <c r="G106" s="123"/>
      <c r="H106" s="203">
        <v>0</v>
      </c>
      <c r="I106" s="123">
        <v>0</v>
      </c>
      <c r="J106" s="204">
        <v>0</v>
      </c>
    </row>
    <row r="107" spans="1:10" ht="20.25" customHeight="1" x14ac:dyDescent="0.35">
      <c r="A107" s="497" t="s">
        <v>1918</v>
      </c>
      <c r="B107" s="500" t="s">
        <v>1864</v>
      </c>
      <c r="C107" s="126" t="s">
        <v>258</v>
      </c>
      <c r="D107" s="210" t="s">
        <v>1840</v>
      </c>
      <c r="E107" s="131"/>
      <c r="F107" s="211" t="s">
        <v>1878</v>
      </c>
      <c r="G107" s="123"/>
      <c r="H107" s="203">
        <v>1</v>
      </c>
      <c r="I107" s="123">
        <v>0</v>
      </c>
      <c r="J107" s="204">
        <v>1</v>
      </c>
    </row>
    <row r="108" spans="1:10" ht="20.25" customHeight="1" x14ac:dyDescent="0.35">
      <c r="A108" s="497" t="s">
        <v>1918</v>
      </c>
      <c r="B108" s="500" t="s">
        <v>1865</v>
      </c>
      <c r="C108" s="126" t="s">
        <v>278</v>
      </c>
      <c r="D108" s="210"/>
      <c r="E108" s="504"/>
      <c r="F108" s="211"/>
      <c r="G108" s="198"/>
      <c r="H108" s="203">
        <v>0</v>
      </c>
      <c r="I108" s="123">
        <v>0</v>
      </c>
      <c r="J108" s="204">
        <v>0</v>
      </c>
    </row>
    <row r="109" spans="1:10" ht="20.25" customHeight="1" x14ac:dyDescent="0.35">
      <c r="A109" s="497" t="s">
        <v>1918</v>
      </c>
      <c r="B109" s="500" t="s">
        <v>1866</v>
      </c>
      <c r="C109" s="126" t="s">
        <v>299</v>
      </c>
      <c r="D109" s="210"/>
      <c r="E109" s="131"/>
      <c r="F109" s="211"/>
      <c r="G109" s="123"/>
      <c r="H109" s="203">
        <v>0</v>
      </c>
      <c r="I109" s="123">
        <v>0</v>
      </c>
      <c r="J109" s="204">
        <v>0</v>
      </c>
    </row>
    <row r="110" spans="1:10" ht="20.25" customHeight="1" x14ac:dyDescent="0.35">
      <c r="A110" s="497" t="s">
        <v>1918</v>
      </c>
      <c r="B110" s="500" t="s">
        <v>1867</v>
      </c>
      <c r="C110" s="126" t="s">
        <v>319</v>
      </c>
      <c r="D110" s="210"/>
      <c r="E110" s="504"/>
      <c r="F110" s="211"/>
      <c r="G110" s="198"/>
      <c r="H110" s="203">
        <v>0</v>
      </c>
      <c r="I110" s="123">
        <v>0</v>
      </c>
      <c r="J110" s="204">
        <v>0</v>
      </c>
    </row>
    <row r="111" spans="1:10" ht="20.25" customHeight="1" x14ac:dyDescent="0.35">
      <c r="A111" s="497" t="s">
        <v>1918</v>
      </c>
      <c r="B111" s="500" t="s">
        <v>1869</v>
      </c>
      <c r="C111" s="126" t="s">
        <v>339</v>
      </c>
      <c r="D111" s="210" t="s">
        <v>1830</v>
      </c>
      <c r="E111" s="131"/>
      <c r="F111" s="211" t="s">
        <v>1923</v>
      </c>
      <c r="G111" s="123"/>
      <c r="H111" s="203">
        <v>2</v>
      </c>
      <c r="I111" s="123">
        <v>0</v>
      </c>
      <c r="J111" s="204">
        <v>1</v>
      </c>
    </row>
    <row r="112" spans="1:10" ht="20.25" customHeight="1" x14ac:dyDescent="0.35">
      <c r="A112" s="497" t="s">
        <v>1918</v>
      </c>
      <c r="B112" s="500" t="s">
        <v>1870</v>
      </c>
      <c r="C112" s="126" t="s">
        <v>359</v>
      </c>
      <c r="D112" s="210" t="s">
        <v>1836</v>
      </c>
      <c r="E112" s="131" t="s">
        <v>1855</v>
      </c>
      <c r="F112" s="211" t="s">
        <v>1855</v>
      </c>
      <c r="G112" s="123"/>
      <c r="H112" s="203">
        <v>2</v>
      </c>
      <c r="I112" s="123">
        <v>4</v>
      </c>
      <c r="J112" s="204">
        <v>4</v>
      </c>
    </row>
    <row r="113" spans="1:10" ht="20.25" customHeight="1" x14ac:dyDescent="0.35">
      <c r="A113" s="497" t="s">
        <v>1918</v>
      </c>
      <c r="B113" s="500" t="s">
        <v>1871</v>
      </c>
      <c r="C113" s="126" t="s">
        <v>379</v>
      </c>
      <c r="D113" s="210"/>
      <c r="E113" s="504"/>
      <c r="F113" s="211"/>
      <c r="G113" s="198"/>
      <c r="H113" s="203">
        <v>0</v>
      </c>
      <c r="I113" s="123">
        <v>0</v>
      </c>
      <c r="J113" s="204">
        <v>0</v>
      </c>
    </row>
    <row r="114" spans="1:10" ht="20.25" customHeight="1" x14ac:dyDescent="0.35">
      <c r="A114" s="497" t="s">
        <v>1918</v>
      </c>
      <c r="B114" s="500" t="s">
        <v>1872</v>
      </c>
      <c r="C114" s="126" t="s">
        <v>400</v>
      </c>
      <c r="D114" s="210"/>
      <c r="E114" s="131"/>
      <c r="F114" s="211"/>
      <c r="G114" s="123"/>
      <c r="H114" s="203">
        <v>0</v>
      </c>
      <c r="I114" s="123">
        <v>0</v>
      </c>
      <c r="J114" s="204">
        <v>0</v>
      </c>
    </row>
    <row r="115" spans="1:10" ht="20.25" customHeight="1" x14ac:dyDescent="0.35">
      <c r="A115" s="497" t="s">
        <v>1918</v>
      </c>
      <c r="B115" s="500" t="s">
        <v>1873</v>
      </c>
      <c r="C115" s="126" t="s">
        <v>260</v>
      </c>
      <c r="D115" s="210"/>
      <c r="E115" s="504"/>
      <c r="F115" s="211"/>
      <c r="G115" s="198"/>
      <c r="H115" s="203">
        <v>0</v>
      </c>
      <c r="I115" s="123">
        <v>0</v>
      </c>
      <c r="J115" s="204">
        <v>0</v>
      </c>
    </row>
    <row r="116" spans="1:10" ht="20.25" customHeight="1" x14ac:dyDescent="0.35">
      <c r="A116" s="497" t="s">
        <v>1918</v>
      </c>
      <c r="B116" s="500" t="s">
        <v>1874</v>
      </c>
      <c r="C116" s="126" t="s">
        <v>280</v>
      </c>
      <c r="D116" s="210" t="s">
        <v>1855</v>
      </c>
      <c r="E116" s="507" t="s">
        <v>1856</v>
      </c>
      <c r="F116" s="505" t="s">
        <v>1856</v>
      </c>
      <c r="G116" s="123"/>
      <c r="H116" s="203">
        <v>4</v>
      </c>
      <c r="I116" s="123">
        <v>4</v>
      </c>
      <c r="J116" s="204">
        <v>4</v>
      </c>
    </row>
    <row r="117" spans="1:10" ht="20.25" customHeight="1" x14ac:dyDescent="0.35">
      <c r="A117" s="497" t="s">
        <v>1918</v>
      </c>
      <c r="B117" s="500" t="s">
        <v>1876</v>
      </c>
      <c r="C117" s="126" t="s">
        <v>301</v>
      </c>
      <c r="D117" s="210" t="s">
        <v>903</v>
      </c>
      <c r="E117" s="504"/>
      <c r="F117" s="211"/>
      <c r="G117" s="198"/>
      <c r="H117" s="203">
        <v>1</v>
      </c>
      <c r="I117" s="123">
        <v>0</v>
      </c>
      <c r="J117" s="204">
        <v>0</v>
      </c>
    </row>
    <row r="118" spans="1:10" ht="20.25" customHeight="1" x14ac:dyDescent="0.35">
      <c r="A118" s="497" t="s">
        <v>1918</v>
      </c>
      <c r="B118" s="500" t="s">
        <v>1879</v>
      </c>
      <c r="C118" s="126" t="s">
        <v>321</v>
      </c>
      <c r="D118" s="210"/>
      <c r="E118" s="131"/>
      <c r="F118" s="211"/>
      <c r="G118" s="123"/>
      <c r="H118" s="203">
        <v>0</v>
      </c>
      <c r="I118" s="123">
        <v>0</v>
      </c>
      <c r="J118" s="204">
        <v>0</v>
      </c>
    </row>
    <row r="119" spans="1:10" ht="20.25" customHeight="1" x14ac:dyDescent="0.35">
      <c r="A119" s="497" t="s">
        <v>1918</v>
      </c>
      <c r="B119" s="500" t="s">
        <v>1880</v>
      </c>
      <c r="C119" s="126" t="s">
        <v>341</v>
      </c>
      <c r="D119" s="210" t="s">
        <v>1877</v>
      </c>
      <c r="E119" s="504" t="s">
        <v>1831</v>
      </c>
      <c r="F119" s="211" t="s">
        <v>1877</v>
      </c>
      <c r="G119" s="198"/>
      <c r="H119" s="203">
        <v>2</v>
      </c>
      <c r="I119" s="123">
        <v>1</v>
      </c>
      <c r="J119" s="204">
        <v>2</v>
      </c>
    </row>
    <row r="120" spans="1:10" ht="20.25" customHeight="1" x14ac:dyDescent="0.35">
      <c r="A120" s="497" t="s">
        <v>1918</v>
      </c>
      <c r="B120" s="500" t="s">
        <v>1881</v>
      </c>
      <c r="C120" s="126" t="s">
        <v>361</v>
      </c>
      <c r="D120" s="210"/>
      <c r="E120" s="131"/>
      <c r="F120" s="211"/>
      <c r="G120" s="123"/>
      <c r="H120" s="203">
        <v>0</v>
      </c>
      <c r="I120" s="123">
        <v>0</v>
      </c>
      <c r="J120" s="204">
        <v>0</v>
      </c>
    </row>
    <row r="121" spans="1:10" ht="20.25" customHeight="1" x14ac:dyDescent="0.35">
      <c r="A121" s="497" t="s">
        <v>1918</v>
      </c>
      <c r="B121" s="500" t="s">
        <v>1882</v>
      </c>
      <c r="C121" s="126" t="s">
        <v>381</v>
      </c>
      <c r="D121" s="210"/>
      <c r="E121" s="131"/>
      <c r="F121" s="211"/>
      <c r="G121" s="123"/>
      <c r="H121" s="203">
        <v>0</v>
      </c>
      <c r="I121" s="123">
        <v>0</v>
      </c>
      <c r="J121" s="204">
        <v>0</v>
      </c>
    </row>
    <row r="122" spans="1:10" ht="20.25" customHeight="1" x14ac:dyDescent="0.35">
      <c r="A122" s="497" t="s">
        <v>1918</v>
      </c>
      <c r="B122" s="500" t="s">
        <v>1883</v>
      </c>
      <c r="C122" s="126" t="s">
        <v>402</v>
      </c>
      <c r="D122" s="210" t="s">
        <v>1877</v>
      </c>
      <c r="E122" s="131" t="s">
        <v>1830</v>
      </c>
      <c r="F122" s="211" t="s">
        <v>1831</v>
      </c>
      <c r="G122" s="198"/>
      <c r="H122" s="203">
        <v>2</v>
      </c>
      <c r="I122" s="123">
        <v>2</v>
      </c>
      <c r="J122" s="204">
        <v>1</v>
      </c>
    </row>
    <row r="123" spans="1:10" ht="20.25" customHeight="1" x14ac:dyDescent="0.35">
      <c r="A123" s="497" t="s">
        <v>1918</v>
      </c>
      <c r="B123" s="500" t="s">
        <v>1884</v>
      </c>
      <c r="C123" s="126" t="s">
        <v>262</v>
      </c>
      <c r="D123" s="210" t="s">
        <v>1924</v>
      </c>
      <c r="E123" s="131" t="s">
        <v>1901</v>
      </c>
      <c r="F123" s="211" t="s">
        <v>1925</v>
      </c>
      <c r="G123" s="198"/>
      <c r="H123" s="203">
        <v>3</v>
      </c>
      <c r="I123" s="123">
        <v>4</v>
      </c>
      <c r="J123" s="204">
        <v>4</v>
      </c>
    </row>
    <row r="124" spans="1:10" ht="20.25" customHeight="1" x14ac:dyDescent="0.35">
      <c r="A124" s="497" t="s">
        <v>1918</v>
      </c>
      <c r="B124" s="500" t="s">
        <v>1885</v>
      </c>
      <c r="C124" s="126" t="s">
        <v>283</v>
      </c>
      <c r="D124" s="210"/>
      <c r="E124" s="131"/>
      <c r="F124" s="211"/>
      <c r="G124" s="123"/>
      <c r="H124" s="203">
        <v>0</v>
      </c>
      <c r="I124" s="123">
        <v>0</v>
      </c>
      <c r="J124" s="204">
        <v>0</v>
      </c>
    </row>
    <row r="125" spans="1:10" ht="20.25" customHeight="1" x14ac:dyDescent="0.35">
      <c r="A125" s="497" t="s">
        <v>1918</v>
      </c>
      <c r="B125" s="500" t="s">
        <v>1886</v>
      </c>
      <c r="C125" s="126" t="s">
        <v>303</v>
      </c>
      <c r="D125" s="210"/>
      <c r="E125" s="131"/>
      <c r="F125" s="211"/>
      <c r="G125" s="123"/>
      <c r="H125" s="203">
        <v>0</v>
      </c>
      <c r="I125" s="123">
        <v>0</v>
      </c>
      <c r="J125" s="204">
        <v>0</v>
      </c>
    </row>
    <row r="126" spans="1:10" ht="20.25" customHeight="1" x14ac:dyDescent="0.35">
      <c r="A126" s="497" t="s">
        <v>1918</v>
      </c>
      <c r="B126" s="500" t="s">
        <v>1887</v>
      </c>
      <c r="C126" s="126" t="s">
        <v>323</v>
      </c>
      <c r="D126" s="210"/>
      <c r="E126" s="504"/>
      <c r="F126" s="211"/>
      <c r="G126" s="198"/>
      <c r="H126" s="203">
        <v>0</v>
      </c>
      <c r="I126" s="123">
        <v>0</v>
      </c>
      <c r="J126" s="204">
        <v>0</v>
      </c>
    </row>
    <row r="127" spans="1:10" ht="20.25" customHeight="1" x14ac:dyDescent="0.35">
      <c r="A127" s="497" t="s">
        <v>1918</v>
      </c>
      <c r="B127" s="500" t="s">
        <v>1888</v>
      </c>
      <c r="C127" s="126" t="s">
        <v>343</v>
      </c>
      <c r="D127" s="210"/>
      <c r="E127" s="131"/>
      <c r="F127" s="211"/>
      <c r="G127" s="123"/>
      <c r="H127" s="203">
        <v>0</v>
      </c>
      <c r="I127" s="123">
        <v>0</v>
      </c>
      <c r="J127" s="204">
        <v>0</v>
      </c>
    </row>
    <row r="128" spans="1:10" ht="20.25" customHeight="1" x14ac:dyDescent="0.35">
      <c r="A128" s="497" t="s">
        <v>1918</v>
      </c>
      <c r="B128" s="500" t="s">
        <v>1889</v>
      </c>
      <c r="C128" s="126" t="s">
        <v>363</v>
      </c>
      <c r="D128" s="210"/>
      <c r="E128" s="504"/>
      <c r="F128" s="211"/>
      <c r="G128" s="198"/>
      <c r="H128" s="203">
        <v>0</v>
      </c>
      <c r="I128" s="123">
        <v>0</v>
      </c>
      <c r="J128" s="204">
        <v>0</v>
      </c>
    </row>
    <row r="129" spans="1:10" ht="20.25" customHeight="1" x14ac:dyDescent="0.35">
      <c r="A129" s="497" t="s">
        <v>1918</v>
      </c>
      <c r="B129" s="500" t="s">
        <v>1890</v>
      </c>
      <c r="C129" s="126" t="s">
        <v>383</v>
      </c>
      <c r="D129" s="210"/>
      <c r="E129" s="131"/>
      <c r="F129" s="211"/>
      <c r="G129" s="123"/>
      <c r="H129" s="203">
        <v>0</v>
      </c>
      <c r="I129" s="123">
        <v>0</v>
      </c>
      <c r="J129" s="204">
        <v>0</v>
      </c>
    </row>
    <row r="130" spans="1:10" ht="20.25" customHeight="1" x14ac:dyDescent="0.35">
      <c r="A130" s="497" t="s">
        <v>1918</v>
      </c>
      <c r="B130" s="500" t="s">
        <v>1891</v>
      </c>
      <c r="C130" s="126" t="s">
        <v>404</v>
      </c>
      <c r="D130" s="210"/>
      <c r="E130" s="131"/>
      <c r="F130" s="211"/>
      <c r="G130" s="123"/>
      <c r="H130" s="203">
        <v>0</v>
      </c>
      <c r="I130" s="123">
        <v>0</v>
      </c>
      <c r="J130" s="204">
        <v>0</v>
      </c>
    </row>
    <row r="131" spans="1:10" ht="20.25" customHeight="1" x14ac:dyDescent="0.35">
      <c r="A131" s="497" t="s">
        <v>1918</v>
      </c>
      <c r="B131" s="500" t="s">
        <v>1892</v>
      </c>
      <c r="C131" s="126" t="s">
        <v>264</v>
      </c>
      <c r="D131" s="210"/>
      <c r="E131" s="504"/>
      <c r="F131" s="211"/>
      <c r="G131" s="198"/>
      <c r="H131" s="203">
        <v>0</v>
      </c>
      <c r="I131" s="123">
        <v>0</v>
      </c>
      <c r="J131" s="204">
        <v>0</v>
      </c>
    </row>
    <row r="132" spans="1:10" ht="20.25" customHeight="1" x14ac:dyDescent="0.35">
      <c r="A132" s="497" t="s">
        <v>1918</v>
      </c>
      <c r="B132" s="500" t="s">
        <v>1893</v>
      </c>
      <c r="C132" s="126" t="s">
        <v>285</v>
      </c>
      <c r="D132" s="210" t="s">
        <v>1831</v>
      </c>
      <c r="E132" s="131"/>
      <c r="F132" s="211"/>
      <c r="G132" s="123"/>
      <c r="H132" s="203">
        <v>1</v>
      </c>
      <c r="I132" s="123">
        <v>0</v>
      </c>
      <c r="J132" s="204">
        <v>0</v>
      </c>
    </row>
    <row r="133" spans="1:10" ht="20.25" customHeight="1" x14ac:dyDescent="0.35">
      <c r="A133" s="497" t="s">
        <v>1918</v>
      </c>
      <c r="B133" s="500" t="s">
        <v>1894</v>
      </c>
      <c r="C133" s="126" t="s">
        <v>305</v>
      </c>
      <c r="D133" s="210"/>
      <c r="E133" s="131"/>
      <c r="F133" s="211"/>
      <c r="G133" s="123"/>
      <c r="H133" s="203">
        <v>0</v>
      </c>
      <c r="I133" s="123">
        <v>0</v>
      </c>
      <c r="J133" s="204">
        <v>0</v>
      </c>
    </row>
    <row r="134" spans="1:10" ht="20.25" customHeight="1" x14ac:dyDescent="0.35">
      <c r="A134" s="497" t="s">
        <v>1918</v>
      </c>
      <c r="B134" s="500" t="s">
        <v>1895</v>
      </c>
      <c r="C134" s="126" t="s">
        <v>325</v>
      </c>
      <c r="D134" s="210"/>
      <c r="E134" s="131" t="s">
        <v>1840</v>
      </c>
      <c r="F134" s="211"/>
      <c r="G134" s="123"/>
      <c r="H134" s="203">
        <v>0</v>
      </c>
      <c r="I134" s="123">
        <v>1</v>
      </c>
      <c r="J134" s="204">
        <v>0</v>
      </c>
    </row>
    <row r="135" spans="1:10" ht="20.25" customHeight="1" x14ac:dyDescent="0.35">
      <c r="A135" s="497" t="s">
        <v>1918</v>
      </c>
      <c r="B135" s="500" t="s">
        <v>1896</v>
      </c>
      <c r="C135" s="126" t="s">
        <v>345</v>
      </c>
      <c r="D135" s="210"/>
      <c r="E135" s="131"/>
      <c r="F135" s="211"/>
      <c r="G135" s="123"/>
      <c r="H135" s="203">
        <v>0</v>
      </c>
      <c r="I135" s="123">
        <v>0</v>
      </c>
      <c r="J135" s="204">
        <v>0</v>
      </c>
    </row>
    <row r="136" spans="1:10" ht="20.25" customHeight="1" x14ac:dyDescent="0.35">
      <c r="A136" s="497" t="s">
        <v>1918</v>
      </c>
      <c r="B136" s="500" t="s">
        <v>1897</v>
      </c>
      <c r="C136" s="126" t="s">
        <v>365</v>
      </c>
      <c r="D136" s="210"/>
      <c r="E136" s="131"/>
      <c r="F136" s="211"/>
      <c r="G136" s="123"/>
      <c r="H136" s="203">
        <v>0</v>
      </c>
      <c r="I136" s="123">
        <v>0</v>
      </c>
      <c r="J136" s="204">
        <v>0</v>
      </c>
    </row>
    <row r="137" spans="1:10" ht="20.25" customHeight="1" x14ac:dyDescent="0.35">
      <c r="A137" s="497" t="s">
        <v>1918</v>
      </c>
      <c r="B137" s="500" t="s">
        <v>1898</v>
      </c>
      <c r="C137" s="126" t="s">
        <v>385</v>
      </c>
      <c r="D137" s="210" t="s">
        <v>1840</v>
      </c>
      <c r="E137" s="131"/>
      <c r="F137" s="211"/>
      <c r="G137" s="123"/>
      <c r="H137" s="203">
        <v>1</v>
      </c>
      <c r="I137" s="123">
        <v>0</v>
      </c>
      <c r="J137" s="204">
        <v>0</v>
      </c>
    </row>
    <row r="138" spans="1:10" ht="20.25" customHeight="1" x14ac:dyDescent="0.35">
      <c r="A138" s="497" t="s">
        <v>1918</v>
      </c>
      <c r="B138" s="500" t="s">
        <v>1899</v>
      </c>
      <c r="C138" s="126" t="s">
        <v>406</v>
      </c>
      <c r="D138" s="210" t="s">
        <v>1840</v>
      </c>
      <c r="E138" s="504"/>
      <c r="F138" s="211"/>
      <c r="G138" s="198"/>
      <c r="H138" s="203">
        <v>1</v>
      </c>
      <c r="I138" s="123">
        <v>0</v>
      </c>
      <c r="J138" s="204">
        <v>0</v>
      </c>
    </row>
    <row r="139" spans="1:10" ht="20.25" customHeight="1" x14ac:dyDescent="0.35">
      <c r="A139" s="497" t="s">
        <v>1918</v>
      </c>
      <c r="B139" s="500" t="s">
        <v>1900</v>
      </c>
      <c r="C139" s="126" t="s">
        <v>266</v>
      </c>
      <c r="D139" s="210" t="s">
        <v>1855</v>
      </c>
      <c r="E139" s="131" t="s">
        <v>1855</v>
      </c>
      <c r="F139" s="211" t="s">
        <v>1855</v>
      </c>
      <c r="G139" s="123"/>
      <c r="H139" s="203">
        <v>4</v>
      </c>
      <c r="I139" s="123">
        <v>4</v>
      </c>
      <c r="J139" s="204">
        <v>4</v>
      </c>
    </row>
    <row r="140" spans="1:10" ht="20.25" customHeight="1" x14ac:dyDescent="0.35">
      <c r="A140" s="497" t="s">
        <v>1918</v>
      </c>
      <c r="B140" s="500" t="s">
        <v>1902</v>
      </c>
      <c r="C140" s="126" t="s">
        <v>287</v>
      </c>
      <c r="D140" s="210"/>
      <c r="E140" s="131"/>
      <c r="F140" s="211"/>
      <c r="G140" s="123"/>
      <c r="H140" s="203">
        <v>0</v>
      </c>
      <c r="I140" s="123">
        <v>0</v>
      </c>
      <c r="J140" s="204">
        <v>0</v>
      </c>
    </row>
    <row r="141" spans="1:10" ht="20.25" customHeight="1" x14ac:dyDescent="0.35">
      <c r="A141" s="497" t="s">
        <v>1918</v>
      </c>
      <c r="B141" s="500" t="s">
        <v>1904</v>
      </c>
      <c r="C141" s="126" t="s">
        <v>307</v>
      </c>
      <c r="D141" s="210"/>
      <c r="E141" s="131"/>
      <c r="F141" s="211"/>
      <c r="G141" s="123"/>
      <c r="H141" s="203">
        <v>0</v>
      </c>
      <c r="I141" s="123">
        <v>0</v>
      </c>
      <c r="J141" s="204">
        <v>0</v>
      </c>
    </row>
    <row r="142" spans="1:10" ht="20.25" customHeight="1" x14ac:dyDescent="0.35">
      <c r="A142" s="497" t="s">
        <v>1918</v>
      </c>
      <c r="B142" s="500" t="s">
        <v>1905</v>
      </c>
      <c r="C142" s="126" t="s">
        <v>327</v>
      </c>
      <c r="D142" s="210"/>
      <c r="E142" s="131"/>
      <c r="F142" s="211"/>
      <c r="G142" s="123"/>
      <c r="H142" s="203">
        <v>0</v>
      </c>
      <c r="I142" s="123">
        <v>0</v>
      </c>
      <c r="J142" s="204">
        <v>0</v>
      </c>
    </row>
    <row r="143" spans="1:10" ht="20.25" customHeight="1" x14ac:dyDescent="0.35">
      <c r="A143" s="497" t="s">
        <v>1918</v>
      </c>
      <c r="B143" s="500" t="s">
        <v>1906</v>
      </c>
      <c r="C143" s="126" t="s">
        <v>347</v>
      </c>
      <c r="D143" s="210"/>
      <c r="E143" s="131"/>
      <c r="F143" s="211"/>
      <c r="G143" s="123"/>
      <c r="H143" s="203">
        <v>0</v>
      </c>
      <c r="I143" s="123">
        <v>0</v>
      </c>
      <c r="J143" s="204">
        <v>0</v>
      </c>
    </row>
    <row r="144" spans="1:10" ht="20.25" customHeight="1" x14ac:dyDescent="0.35">
      <c r="A144" s="497" t="s">
        <v>1918</v>
      </c>
      <c r="B144" s="500" t="s">
        <v>1908</v>
      </c>
      <c r="C144" s="126" t="s">
        <v>367</v>
      </c>
      <c r="D144" s="210"/>
      <c r="E144" s="131"/>
      <c r="F144" s="211"/>
      <c r="G144" s="123"/>
      <c r="H144" s="203">
        <v>0</v>
      </c>
      <c r="I144" s="123">
        <v>0</v>
      </c>
      <c r="J144" s="204">
        <v>0</v>
      </c>
    </row>
    <row r="145" spans="1:10" ht="20.25" customHeight="1" x14ac:dyDescent="0.35">
      <c r="A145" s="497" t="s">
        <v>1918</v>
      </c>
      <c r="B145" s="500" t="s">
        <v>1910</v>
      </c>
      <c r="C145" s="126" t="s">
        <v>387</v>
      </c>
      <c r="D145" s="210"/>
      <c r="E145" s="504"/>
      <c r="F145" s="211"/>
      <c r="G145" s="198"/>
      <c r="H145" s="203">
        <v>0</v>
      </c>
      <c r="I145" s="123">
        <v>0</v>
      </c>
      <c r="J145" s="204">
        <v>0</v>
      </c>
    </row>
    <row r="146" spans="1:10" ht="20.25" customHeight="1" x14ac:dyDescent="0.35">
      <c r="A146" s="497" t="s">
        <v>1918</v>
      </c>
      <c r="B146" s="500" t="s">
        <v>1911</v>
      </c>
      <c r="C146" s="126" t="s">
        <v>408</v>
      </c>
      <c r="D146" s="210" t="s">
        <v>1830</v>
      </c>
      <c r="E146" s="131" t="s">
        <v>1855</v>
      </c>
      <c r="F146" s="211" t="s">
        <v>1957</v>
      </c>
      <c r="G146" s="123"/>
      <c r="H146" s="203">
        <v>2</v>
      </c>
      <c r="I146" s="123">
        <v>4</v>
      </c>
      <c r="J146" s="204">
        <v>4</v>
      </c>
    </row>
    <row r="147" spans="1:10" ht="20.25" customHeight="1" x14ac:dyDescent="0.35">
      <c r="A147" s="497" t="s">
        <v>1918</v>
      </c>
      <c r="B147" s="500" t="s">
        <v>35</v>
      </c>
      <c r="C147" s="126" t="s">
        <v>268</v>
      </c>
      <c r="D147" s="210" t="s">
        <v>1830</v>
      </c>
      <c r="E147" s="131" t="s">
        <v>1836</v>
      </c>
      <c r="F147" s="211"/>
      <c r="G147" s="123"/>
      <c r="H147" s="203">
        <v>2</v>
      </c>
      <c r="I147" s="123">
        <v>2</v>
      </c>
      <c r="J147" s="204">
        <v>0</v>
      </c>
    </row>
    <row r="148" spans="1:10" ht="20.25" customHeight="1" x14ac:dyDescent="0.35">
      <c r="A148" s="497" t="s">
        <v>1918</v>
      </c>
      <c r="B148" s="500" t="s">
        <v>65</v>
      </c>
      <c r="C148" s="126" t="s">
        <v>289</v>
      </c>
      <c r="D148" s="210"/>
      <c r="E148" s="131"/>
      <c r="F148" s="211" t="s">
        <v>1878</v>
      </c>
      <c r="G148" s="123"/>
      <c r="H148" s="203">
        <v>0</v>
      </c>
      <c r="I148" s="123">
        <v>0</v>
      </c>
      <c r="J148" s="204">
        <v>1</v>
      </c>
    </row>
    <row r="149" spans="1:10" ht="20.25" customHeight="1" x14ac:dyDescent="0.35">
      <c r="A149" s="497" t="s">
        <v>1918</v>
      </c>
      <c r="B149" s="500" t="s">
        <v>95</v>
      </c>
      <c r="C149" s="126" t="s">
        <v>309</v>
      </c>
      <c r="D149" s="210" t="s">
        <v>1878</v>
      </c>
      <c r="E149" s="131"/>
      <c r="F149" s="211"/>
      <c r="G149" s="123"/>
      <c r="H149" s="203">
        <v>1</v>
      </c>
      <c r="I149" s="123">
        <v>0</v>
      </c>
      <c r="J149" s="204">
        <v>0</v>
      </c>
    </row>
    <row r="150" spans="1:10" ht="20.25" customHeight="1" x14ac:dyDescent="0.35">
      <c r="A150" s="497" t="s">
        <v>1918</v>
      </c>
      <c r="B150" s="500" t="s">
        <v>125</v>
      </c>
      <c r="C150" s="126" t="s">
        <v>329</v>
      </c>
      <c r="D150" s="210"/>
      <c r="E150" s="131"/>
      <c r="F150" s="211"/>
      <c r="G150" s="123"/>
      <c r="H150" s="203">
        <v>0</v>
      </c>
      <c r="I150" s="123">
        <v>0</v>
      </c>
      <c r="J150" s="204">
        <v>0</v>
      </c>
    </row>
    <row r="151" spans="1:10" ht="20.25" customHeight="1" x14ac:dyDescent="0.35">
      <c r="A151" s="497" t="s">
        <v>1918</v>
      </c>
      <c r="B151" s="500" t="s">
        <v>155</v>
      </c>
      <c r="C151" s="126" t="s">
        <v>349</v>
      </c>
      <c r="D151" s="210"/>
      <c r="E151" s="131"/>
      <c r="F151" s="211" t="s">
        <v>1831</v>
      </c>
      <c r="G151" s="123"/>
      <c r="H151" s="203">
        <v>0</v>
      </c>
      <c r="I151" s="123">
        <v>0</v>
      </c>
      <c r="J151" s="204">
        <v>1</v>
      </c>
    </row>
    <row r="152" spans="1:10" ht="20.25" customHeight="1" x14ac:dyDescent="0.35">
      <c r="A152" s="497" t="s">
        <v>1918</v>
      </c>
      <c r="B152" s="500" t="s">
        <v>185</v>
      </c>
      <c r="C152" s="126" t="s">
        <v>369</v>
      </c>
      <c r="D152" s="210"/>
      <c r="E152" s="504"/>
      <c r="F152" s="211"/>
      <c r="G152" s="198"/>
      <c r="H152" s="203">
        <v>0</v>
      </c>
      <c r="I152" s="123">
        <v>0</v>
      </c>
      <c r="J152" s="204">
        <v>0</v>
      </c>
    </row>
    <row r="153" spans="1:10" ht="20.25" customHeight="1" x14ac:dyDescent="0.35">
      <c r="A153" s="497" t="s">
        <v>1918</v>
      </c>
      <c r="B153" s="500" t="s">
        <v>215</v>
      </c>
      <c r="C153" s="126" t="s">
        <v>389</v>
      </c>
      <c r="D153" s="210" t="s">
        <v>1914</v>
      </c>
      <c r="E153" s="131" t="s">
        <v>1855</v>
      </c>
      <c r="F153" s="505" t="s">
        <v>1856</v>
      </c>
      <c r="G153" s="123"/>
      <c r="H153" s="203">
        <v>3</v>
      </c>
      <c r="I153" s="123">
        <v>4</v>
      </c>
      <c r="J153" s="204">
        <v>4</v>
      </c>
    </row>
    <row r="154" spans="1:10" ht="20.25" customHeight="1" x14ac:dyDescent="0.35">
      <c r="A154" s="497" t="s">
        <v>1918</v>
      </c>
      <c r="B154" s="500" t="s">
        <v>245</v>
      </c>
      <c r="C154" s="126" t="s">
        <v>410</v>
      </c>
      <c r="D154" s="508"/>
      <c r="E154" s="504"/>
      <c r="F154" s="509"/>
      <c r="G154" s="128"/>
      <c r="H154" s="205">
        <v>0</v>
      </c>
      <c r="I154" s="128">
        <v>0</v>
      </c>
      <c r="J154" s="206">
        <v>0</v>
      </c>
    </row>
    <row r="155" spans="1:10" ht="20.25" customHeight="1" x14ac:dyDescent="0.35">
      <c r="A155" s="497" t="s">
        <v>1918</v>
      </c>
      <c r="B155" s="500" t="s">
        <v>38</v>
      </c>
      <c r="C155" s="126" t="s">
        <v>270</v>
      </c>
      <c r="D155" s="210" t="s">
        <v>1912</v>
      </c>
      <c r="E155" s="507" t="s">
        <v>1856</v>
      </c>
      <c r="F155" s="505" t="s">
        <v>1856</v>
      </c>
      <c r="G155" s="123"/>
      <c r="H155" s="203">
        <v>4</v>
      </c>
      <c r="I155" s="123">
        <v>4</v>
      </c>
      <c r="J155" s="204">
        <v>4</v>
      </c>
    </row>
    <row r="156" spans="1:10" ht="20.25" customHeight="1" x14ac:dyDescent="0.35">
      <c r="A156" s="497" t="s">
        <v>1918</v>
      </c>
      <c r="B156" s="500" t="s">
        <v>68</v>
      </c>
      <c r="C156" s="126" t="s">
        <v>291</v>
      </c>
      <c r="D156" s="210"/>
      <c r="E156" s="131"/>
      <c r="F156" s="211"/>
      <c r="G156" s="123"/>
      <c r="H156" s="203">
        <v>0</v>
      </c>
      <c r="I156" s="123">
        <v>0</v>
      </c>
      <c r="J156" s="204">
        <v>0</v>
      </c>
    </row>
    <row r="157" spans="1:10" ht="20.25" customHeight="1" x14ac:dyDescent="0.35">
      <c r="A157" s="497" t="s">
        <v>1918</v>
      </c>
      <c r="B157" s="500" t="s">
        <v>98</v>
      </c>
      <c r="C157" s="126" t="s">
        <v>311</v>
      </c>
      <c r="D157" s="506" t="s">
        <v>1856</v>
      </c>
      <c r="E157" s="507" t="s">
        <v>1856</v>
      </c>
      <c r="F157" s="505" t="s">
        <v>1856</v>
      </c>
      <c r="G157" s="123"/>
      <c r="H157" s="203">
        <v>4</v>
      </c>
      <c r="I157" s="123">
        <v>4</v>
      </c>
      <c r="J157" s="204">
        <v>4</v>
      </c>
    </row>
    <row r="158" spans="1:10" ht="20.25" customHeight="1" x14ac:dyDescent="0.35">
      <c r="A158" s="497" t="s">
        <v>1918</v>
      </c>
      <c r="B158" s="500" t="s">
        <v>128</v>
      </c>
      <c r="C158" s="126" t="s">
        <v>331</v>
      </c>
      <c r="D158" s="506" t="s">
        <v>1856</v>
      </c>
      <c r="E158" s="507" t="s">
        <v>1856</v>
      </c>
      <c r="F158" s="505" t="s">
        <v>1856</v>
      </c>
      <c r="G158" s="123"/>
      <c r="H158" s="203">
        <v>4</v>
      </c>
      <c r="I158" s="123">
        <v>4</v>
      </c>
      <c r="J158" s="204">
        <v>4</v>
      </c>
    </row>
    <row r="159" spans="1:10" ht="20.25" customHeight="1" x14ac:dyDescent="0.35">
      <c r="A159" s="497" t="s">
        <v>1918</v>
      </c>
      <c r="B159" s="500" t="s">
        <v>158</v>
      </c>
      <c r="C159" s="126" t="s">
        <v>351</v>
      </c>
      <c r="D159" s="210" t="s">
        <v>1831</v>
      </c>
      <c r="E159" s="131"/>
      <c r="F159" s="211" t="s">
        <v>1831</v>
      </c>
      <c r="G159" s="123"/>
      <c r="H159" s="203">
        <v>1</v>
      </c>
      <c r="I159" s="123">
        <v>0</v>
      </c>
      <c r="J159" s="204">
        <v>1</v>
      </c>
    </row>
    <row r="160" spans="1:10" ht="20.25" customHeight="1" x14ac:dyDescent="0.35">
      <c r="A160" s="497" t="s">
        <v>1918</v>
      </c>
      <c r="B160" s="500" t="s">
        <v>188</v>
      </c>
      <c r="C160" s="126" t="s">
        <v>371</v>
      </c>
      <c r="D160" s="210"/>
      <c r="E160" s="131"/>
      <c r="F160" s="211"/>
      <c r="G160" s="123"/>
      <c r="H160" s="203">
        <v>0</v>
      </c>
      <c r="I160" s="123">
        <v>0</v>
      </c>
      <c r="J160" s="204">
        <v>0</v>
      </c>
    </row>
    <row r="161" spans="1:10" ht="20.25" customHeight="1" x14ac:dyDescent="0.35">
      <c r="A161" s="497" t="s">
        <v>1918</v>
      </c>
      <c r="B161" s="500" t="s">
        <v>218</v>
      </c>
      <c r="C161" s="126" t="s">
        <v>391</v>
      </c>
      <c r="D161" s="210"/>
      <c r="E161" s="504"/>
      <c r="F161" s="211"/>
      <c r="G161" s="198"/>
      <c r="H161" s="203">
        <v>0</v>
      </c>
      <c r="I161" s="123">
        <v>0</v>
      </c>
      <c r="J161" s="204">
        <v>0</v>
      </c>
    </row>
    <row r="162" spans="1:10" ht="20.25" customHeight="1" thickBot="1" x14ac:dyDescent="0.4">
      <c r="A162" s="497" t="s">
        <v>1918</v>
      </c>
      <c r="B162" s="510" t="s">
        <v>248</v>
      </c>
      <c r="C162" s="199" t="s">
        <v>412</v>
      </c>
      <c r="D162" s="210"/>
      <c r="E162" s="131"/>
      <c r="F162" s="211"/>
      <c r="G162" s="123"/>
      <c r="H162" s="203">
        <v>0</v>
      </c>
      <c r="I162" s="123">
        <v>0</v>
      </c>
      <c r="J162" s="204">
        <v>0</v>
      </c>
    </row>
    <row r="163" spans="1:10" ht="20.25" customHeight="1" x14ac:dyDescent="0.35">
      <c r="A163" s="497" t="s">
        <v>1926</v>
      </c>
      <c r="B163" s="500" t="s">
        <v>1825</v>
      </c>
      <c r="C163" s="126" t="s">
        <v>415</v>
      </c>
      <c r="D163" s="210"/>
      <c r="E163" s="504"/>
      <c r="F163" s="211"/>
      <c r="G163" s="198"/>
      <c r="H163" s="203">
        <v>0</v>
      </c>
      <c r="I163" s="123">
        <v>0</v>
      </c>
      <c r="J163" s="204">
        <v>0</v>
      </c>
    </row>
    <row r="164" spans="1:10" ht="20.25" customHeight="1" x14ac:dyDescent="0.35">
      <c r="A164" s="497" t="s">
        <v>1926</v>
      </c>
      <c r="B164" s="500" t="s">
        <v>1826</v>
      </c>
      <c r="C164" s="126" t="s">
        <v>435</v>
      </c>
      <c r="D164" s="210"/>
      <c r="E164" s="131"/>
      <c r="F164" s="211"/>
      <c r="G164" s="123"/>
      <c r="H164" s="203">
        <v>0</v>
      </c>
      <c r="I164" s="123">
        <v>0</v>
      </c>
      <c r="J164" s="204">
        <v>0</v>
      </c>
    </row>
    <row r="165" spans="1:10" ht="20.25" customHeight="1" x14ac:dyDescent="0.35">
      <c r="A165" s="497" t="s">
        <v>1926</v>
      </c>
      <c r="B165" s="500" t="s">
        <v>1827</v>
      </c>
      <c r="C165" s="126" t="s">
        <v>455</v>
      </c>
      <c r="D165" s="210"/>
      <c r="E165" s="131" t="s">
        <v>1840</v>
      </c>
      <c r="F165" s="211"/>
      <c r="G165" s="123"/>
      <c r="H165" s="203">
        <v>0</v>
      </c>
      <c r="I165" s="123">
        <v>1</v>
      </c>
      <c r="J165" s="204">
        <v>0</v>
      </c>
    </row>
    <row r="166" spans="1:10" ht="20.25" customHeight="1" x14ac:dyDescent="0.35">
      <c r="A166" s="497" t="s">
        <v>1926</v>
      </c>
      <c r="B166" s="500" t="s">
        <v>1828</v>
      </c>
      <c r="C166" s="126" t="s">
        <v>475</v>
      </c>
      <c r="D166" s="210"/>
      <c r="E166" s="504"/>
      <c r="F166" s="211"/>
      <c r="G166" s="198"/>
      <c r="H166" s="203">
        <v>0</v>
      </c>
      <c r="I166" s="123">
        <v>0</v>
      </c>
      <c r="J166" s="204">
        <v>0</v>
      </c>
    </row>
    <row r="167" spans="1:10" ht="20.25" customHeight="1" x14ac:dyDescent="0.35">
      <c r="A167" s="497" t="s">
        <v>1926</v>
      </c>
      <c r="B167" s="500" t="s">
        <v>1829</v>
      </c>
      <c r="C167" s="126" t="s">
        <v>495</v>
      </c>
      <c r="D167" s="210"/>
      <c r="E167" s="131"/>
      <c r="F167" s="211"/>
      <c r="G167" s="123"/>
      <c r="H167" s="203">
        <v>0</v>
      </c>
      <c r="I167" s="123">
        <v>0</v>
      </c>
      <c r="J167" s="204">
        <v>0</v>
      </c>
    </row>
    <row r="168" spans="1:10" ht="20.25" customHeight="1" x14ac:dyDescent="0.35">
      <c r="A168" s="497" t="s">
        <v>1926</v>
      </c>
      <c r="B168" s="500" t="s">
        <v>1832</v>
      </c>
      <c r="C168" s="126" t="s">
        <v>515</v>
      </c>
      <c r="D168" s="210"/>
      <c r="E168" s="131"/>
      <c r="F168" s="211"/>
      <c r="G168" s="123"/>
      <c r="H168" s="203">
        <v>0</v>
      </c>
      <c r="I168" s="123">
        <v>0</v>
      </c>
      <c r="J168" s="204">
        <v>0</v>
      </c>
    </row>
    <row r="169" spans="1:10" ht="20.25" customHeight="1" x14ac:dyDescent="0.35">
      <c r="A169" s="497" t="s">
        <v>1926</v>
      </c>
      <c r="B169" s="500" t="s">
        <v>1833</v>
      </c>
      <c r="C169" s="126" t="s">
        <v>535</v>
      </c>
      <c r="D169" s="210"/>
      <c r="E169" s="131"/>
      <c r="F169" s="211"/>
      <c r="G169" s="123"/>
      <c r="H169" s="203">
        <v>0</v>
      </c>
      <c r="I169" s="123">
        <v>0</v>
      </c>
      <c r="J169" s="204">
        <v>0</v>
      </c>
    </row>
    <row r="170" spans="1:10" ht="20.25" customHeight="1" x14ac:dyDescent="0.35">
      <c r="A170" s="497" t="s">
        <v>1926</v>
      </c>
      <c r="B170" s="500" t="s">
        <v>1834</v>
      </c>
      <c r="C170" s="126" t="s">
        <v>555</v>
      </c>
      <c r="D170" s="210"/>
      <c r="E170" s="131"/>
      <c r="F170" s="211"/>
      <c r="G170" s="123"/>
      <c r="H170" s="203">
        <v>0</v>
      </c>
      <c r="I170" s="123">
        <v>0</v>
      </c>
      <c r="J170" s="204">
        <v>0</v>
      </c>
    </row>
    <row r="171" spans="1:10" ht="20.25" customHeight="1" x14ac:dyDescent="0.35">
      <c r="A171" s="497" t="s">
        <v>1926</v>
      </c>
      <c r="B171" s="500" t="s">
        <v>1835</v>
      </c>
      <c r="C171" s="126" t="s">
        <v>417</v>
      </c>
      <c r="D171" s="210" t="s">
        <v>1840</v>
      </c>
      <c r="E171" s="131"/>
      <c r="F171" s="211" t="s">
        <v>1878</v>
      </c>
      <c r="G171" s="123"/>
      <c r="H171" s="203">
        <v>1</v>
      </c>
      <c r="I171" s="123">
        <v>0</v>
      </c>
      <c r="J171" s="204">
        <v>1</v>
      </c>
    </row>
    <row r="172" spans="1:10" ht="20.25" customHeight="1" x14ac:dyDescent="0.35">
      <c r="A172" s="497" t="s">
        <v>1926</v>
      </c>
      <c r="B172" s="500" t="s">
        <v>1838</v>
      </c>
      <c r="C172" s="126" t="s">
        <v>437</v>
      </c>
      <c r="D172" s="210"/>
      <c r="E172" s="131"/>
      <c r="F172" s="211"/>
      <c r="G172" s="123"/>
      <c r="H172" s="203">
        <v>0</v>
      </c>
      <c r="I172" s="123">
        <v>0</v>
      </c>
      <c r="J172" s="204">
        <v>0</v>
      </c>
    </row>
    <row r="173" spans="1:10" ht="20.25" customHeight="1" x14ac:dyDescent="0.35">
      <c r="A173" s="497" t="s">
        <v>1926</v>
      </c>
      <c r="B173" s="500" t="s">
        <v>1839</v>
      </c>
      <c r="C173" s="126" t="s">
        <v>457</v>
      </c>
      <c r="D173" s="210" t="s">
        <v>1836</v>
      </c>
      <c r="E173" s="131" t="s">
        <v>1855</v>
      </c>
      <c r="F173" s="211" t="s">
        <v>1920</v>
      </c>
      <c r="G173" s="123"/>
      <c r="H173" s="203">
        <v>2</v>
      </c>
      <c r="I173" s="123">
        <v>4</v>
      </c>
      <c r="J173" s="204">
        <v>4</v>
      </c>
    </row>
    <row r="174" spans="1:10" ht="20.25" customHeight="1" x14ac:dyDescent="0.35">
      <c r="A174" s="497" t="s">
        <v>1926</v>
      </c>
      <c r="B174" s="500" t="s">
        <v>1841</v>
      </c>
      <c r="C174" s="126" t="s">
        <v>477</v>
      </c>
      <c r="D174" s="210"/>
      <c r="E174" s="504"/>
      <c r="F174" s="211"/>
      <c r="G174" s="198"/>
      <c r="H174" s="203">
        <v>0</v>
      </c>
      <c r="I174" s="123">
        <v>0</v>
      </c>
      <c r="J174" s="204">
        <v>0</v>
      </c>
    </row>
    <row r="175" spans="1:10" ht="20.25" customHeight="1" x14ac:dyDescent="0.35">
      <c r="A175" s="497" t="s">
        <v>1926</v>
      </c>
      <c r="B175" s="500" t="s">
        <v>1842</v>
      </c>
      <c r="C175" s="126" t="s">
        <v>497</v>
      </c>
      <c r="D175" s="210"/>
      <c r="E175" s="504"/>
      <c r="F175" s="211"/>
      <c r="G175" s="198"/>
      <c r="H175" s="203">
        <v>0</v>
      </c>
      <c r="I175" s="123">
        <v>0</v>
      </c>
      <c r="J175" s="204">
        <v>0</v>
      </c>
    </row>
    <row r="176" spans="1:10" ht="20.25" customHeight="1" x14ac:dyDescent="0.35">
      <c r="A176" s="497" t="s">
        <v>1926</v>
      </c>
      <c r="B176" s="500" t="s">
        <v>1843</v>
      </c>
      <c r="C176" s="126" t="s">
        <v>517</v>
      </c>
      <c r="D176" s="210"/>
      <c r="E176" s="131"/>
      <c r="F176" s="211"/>
      <c r="G176" s="123"/>
      <c r="H176" s="203">
        <v>0</v>
      </c>
      <c r="I176" s="123">
        <v>0</v>
      </c>
      <c r="J176" s="204">
        <v>0</v>
      </c>
    </row>
    <row r="177" spans="1:10" ht="20.25" customHeight="1" x14ac:dyDescent="0.35">
      <c r="A177" s="497" t="s">
        <v>1926</v>
      </c>
      <c r="B177" s="500" t="s">
        <v>1845</v>
      </c>
      <c r="C177" s="126" t="s">
        <v>537</v>
      </c>
      <c r="D177" s="210"/>
      <c r="E177" s="131"/>
      <c r="F177" s="211"/>
      <c r="G177" s="123"/>
      <c r="H177" s="203">
        <v>0</v>
      </c>
      <c r="I177" s="123">
        <v>0</v>
      </c>
      <c r="J177" s="204">
        <v>0</v>
      </c>
    </row>
    <row r="178" spans="1:10" ht="20.25" customHeight="1" x14ac:dyDescent="0.35">
      <c r="A178" s="497" t="s">
        <v>1926</v>
      </c>
      <c r="B178" s="500" t="s">
        <v>1846</v>
      </c>
      <c r="C178" s="126" t="s">
        <v>557</v>
      </c>
      <c r="D178" s="210" t="s">
        <v>1840</v>
      </c>
      <c r="E178" s="131"/>
      <c r="F178" s="211"/>
      <c r="G178" s="198"/>
      <c r="H178" s="203">
        <v>1</v>
      </c>
      <c r="I178" s="123">
        <v>0</v>
      </c>
      <c r="J178" s="204">
        <v>0</v>
      </c>
    </row>
    <row r="179" spans="1:10" ht="20.25" customHeight="1" x14ac:dyDescent="0.35">
      <c r="A179" s="497" t="s">
        <v>1926</v>
      </c>
      <c r="B179" s="500" t="s">
        <v>1848</v>
      </c>
      <c r="C179" s="126" t="s">
        <v>419</v>
      </c>
      <c r="D179" s="210"/>
      <c r="E179" s="504"/>
      <c r="F179" s="211"/>
      <c r="G179" s="198"/>
      <c r="H179" s="203">
        <v>0</v>
      </c>
      <c r="I179" s="123">
        <v>0</v>
      </c>
      <c r="J179" s="204">
        <v>0</v>
      </c>
    </row>
    <row r="180" spans="1:10" ht="20.25" customHeight="1" x14ac:dyDescent="0.35">
      <c r="A180" s="497" t="s">
        <v>1926</v>
      </c>
      <c r="B180" s="500" t="s">
        <v>1850</v>
      </c>
      <c r="C180" s="126" t="s">
        <v>439</v>
      </c>
      <c r="D180" s="210"/>
      <c r="E180" s="504"/>
      <c r="F180" s="211"/>
      <c r="G180" s="198"/>
      <c r="H180" s="203">
        <v>0</v>
      </c>
      <c r="I180" s="123">
        <v>0</v>
      </c>
      <c r="J180" s="204">
        <v>0</v>
      </c>
    </row>
    <row r="181" spans="1:10" ht="20.25" customHeight="1" x14ac:dyDescent="0.35">
      <c r="A181" s="497" t="s">
        <v>1926</v>
      </c>
      <c r="B181" s="500" t="s">
        <v>1852</v>
      </c>
      <c r="C181" s="126" t="s">
        <v>459</v>
      </c>
      <c r="D181" s="210" t="s">
        <v>1831</v>
      </c>
      <c r="E181" s="131" t="s">
        <v>1831</v>
      </c>
      <c r="F181" s="211" t="s">
        <v>1830</v>
      </c>
      <c r="G181" s="198"/>
      <c r="H181" s="203">
        <v>1</v>
      </c>
      <c r="I181" s="123">
        <v>1</v>
      </c>
      <c r="J181" s="204">
        <v>2</v>
      </c>
    </row>
    <row r="182" spans="1:10" ht="20.25" customHeight="1" x14ac:dyDescent="0.35">
      <c r="A182" s="497" t="s">
        <v>1926</v>
      </c>
      <c r="B182" s="500" t="s">
        <v>1854</v>
      </c>
      <c r="C182" s="126" t="s">
        <v>479</v>
      </c>
      <c r="D182" s="210" t="s">
        <v>1922</v>
      </c>
      <c r="E182" s="131" t="s">
        <v>1855</v>
      </c>
      <c r="F182" s="211" t="s">
        <v>1855</v>
      </c>
      <c r="G182" s="123"/>
      <c r="H182" s="203">
        <v>4</v>
      </c>
      <c r="I182" s="123">
        <v>4</v>
      </c>
      <c r="J182" s="204">
        <v>4</v>
      </c>
    </row>
    <row r="183" spans="1:10" ht="20.25" customHeight="1" x14ac:dyDescent="0.35">
      <c r="A183" s="497" t="s">
        <v>1926</v>
      </c>
      <c r="B183" s="500" t="s">
        <v>1858</v>
      </c>
      <c r="C183" s="126" t="s">
        <v>499</v>
      </c>
      <c r="D183" s="210"/>
      <c r="E183" s="131" t="s">
        <v>1831</v>
      </c>
      <c r="F183" s="211"/>
      <c r="G183" s="123"/>
      <c r="H183" s="203">
        <v>0</v>
      </c>
      <c r="I183" s="123">
        <v>1</v>
      </c>
      <c r="J183" s="204">
        <v>0</v>
      </c>
    </row>
    <row r="184" spans="1:10" ht="20.25" customHeight="1" x14ac:dyDescent="0.35">
      <c r="A184" s="497" t="s">
        <v>1926</v>
      </c>
      <c r="B184" s="500" t="s">
        <v>1860</v>
      </c>
      <c r="C184" s="126" t="s">
        <v>519</v>
      </c>
      <c r="D184" s="210" t="s">
        <v>1914</v>
      </c>
      <c r="E184" s="131" t="s">
        <v>1914</v>
      </c>
      <c r="F184" s="211" t="s">
        <v>1927</v>
      </c>
      <c r="G184" s="198"/>
      <c r="H184" s="203">
        <v>3</v>
      </c>
      <c r="I184" s="123">
        <v>3</v>
      </c>
      <c r="J184" s="204">
        <v>4</v>
      </c>
    </row>
    <row r="185" spans="1:10" ht="20.25" customHeight="1" x14ac:dyDescent="0.35">
      <c r="A185" s="497" t="s">
        <v>1926</v>
      </c>
      <c r="B185" s="500" t="s">
        <v>1862</v>
      </c>
      <c r="C185" s="126" t="s">
        <v>539</v>
      </c>
      <c r="D185" s="210" t="s">
        <v>1920</v>
      </c>
      <c r="E185" s="131" t="s">
        <v>1855</v>
      </c>
      <c r="F185" s="505" t="s">
        <v>1856</v>
      </c>
      <c r="G185" s="123"/>
      <c r="H185" s="203">
        <v>4</v>
      </c>
      <c r="I185" s="123">
        <v>4</v>
      </c>
      <c r="J185" s="204">
        <v>4</v>
      </c>
    </row>
    <row r="186" spans="1:10" ht="20.25" customHeight="1" x14ac:dyDescent="0.35">
      <c r="A186" s="497" t="s">
        <v>1926</v>
      </c>
      <c r="B186" s="500" t="s">
        <v>1863</v>
      </c>
      <c r="C186" s="126" t="s">
        <v>559</v>
      </c>
      <c r="D186" s="210"/>
      <c r="E186" s="131"/>
      <c r="F186" s="211" t="s">
        <v>1831</v>
      </c>
      <c r="G186" s="123"/>
      <c r="H186" s="203">
        <v>0</v>
      </c>
      <c r="I186" s="123">
        <v>0</v>
      </c>
      <c r="J186" s="204">
        <v>1</v>
      </c>
    </row>
    <row r="187" spans="1:10" ht="20.25" customHeight="1" x14ac:dyDescent="0.35">
      <c r="A187" s="497" t="s">
        <v>1926</v>
      </c>
      <c r="B187" s="500" t="s">
        <v>1864</v>
      </c>
      <c r="C187" s="126" t="s">
        <v>421</v>
      </c>
      <c r="D187" s="210" t="s">
        <v>1840</v>
      </c>
      <c r="E187" s="131" t="s">
        <v>1919</v>
      </c>
      <c r="F187" s="211" t="s">
        <v>1855</v>
      </c>
      <c r="G187" s="123"/>
      <c r="H187" s="203">
        <v>1</v>
      </c>
      <c r="I187" s="123">
        <v>3</v>
      </c>
      <c r="J187" s="204">
        <v>4</v>
      </c>
    </row>
    <row r="188" spans="1:10" ht="20.25" customHeight="1" x14ac:dyDescent="0.35">
      <c r="A188" s="497" t="s">
        <v>1926</v>
      </c>
      <c r="B188" s="500" t="s">
        <v>1865</v>
      </c>
      <c r="C188" s="126" t="s">
        <v>441</v>
      </c>
      <c r="D188" s="210"/>
      <c r="E188" s="504"/>
      <c r="F188" s="211"/>
      <c r="G188" s="198"/>
      <c r="H188" s="203">
        <v>0</v>
      </c>
      <c r="I188" s="123">
        <v>0</v>
      </c>
      <c r="J188" s="204">
        <v>0</v>
      </c>
    </row>
    <row r="189" spans="1:10" ht="20.25" customHeight="1" x14ac:dyDescent="0.35">
      <c r="A189" s="497" t="s">
        <v>1926</v>
      </c>
      <c r="B189" s="500" t="s">
        <v>1866</v>
      </c>
      <c r="C189" s="126" t="s">
        <v>461</v>
      </c>
      <c r="D189" s="210" t="s">
        <v>1914</v>
      </c>
      <c r="E189" s="131" t="s">
        <v>1855</v>
      </c>
      <c r="F189" s="211" t="s">
        <v>1855</v>
      </c>
      <c r="G189" s="123"/>
      <c r="H189" s="203">
        <v>3</v>
      </c>
      <c r="I189" s="123">
        <v>4</v>
      </c>
      <c r="J189" s="204">
        <v>4</v>
      </c>
    </row>
    <row r="190" spans="1:10" ht="20.25" customHeight="1" x14ac:dyDescent="0.35">
      <c r="A190" s="497" t="s">
        <v>1926</v>
      </c>
      <c r="B190" s="500" t="s">
        <v>1867</v>
      </c>
      <c r="C190" s="126" t="s">
        <v>481</v>
      </c>
      <c r="D190" s="210" t="s">
        <v>1877</v>
      </c>
      <c r="E190" s="131" t="s">
        <v>1878</v>
      </c>
      <c r="F190" s="211" t="s">
        <v>1878</v>
      </c>
      <c r="G190" s="123"/>
      <c r="H190" s="203">
        <v>2</v>
      </c>
      <c r="I190" s="123">
        <v>1</v>
      </c>
      <c r="J190" s="204">
        <v>1</v>
      </c>
    </row>
    <row r="191" spans="1:10" ht="20.25" customHeight="1" x14ac:dyDescent="0.35">
      <c r="A191" s="497" t="s">
        <v>1926</v>
      </c>
      <c r="B191" s="500" t="s">
        <v>1869</v>
      </c>
      <c r="C191" s="126" t="s">
        <v>501</v>
      </c>
      <c r="D191" s="210"/>
      <c r="E191" s="131" t="s">
        <v>1831</v>
      </c>
      <c r="F191" s="211"/>
      <c r="G191" s="123"/>
      <c r="H191" s="203">
        <v>0</v>
      </c>
      <c r="I191" s="123">
        <v>1</v>
      </c>
      <c r="J191" s="204">
        <v>0</v>
      </c>
    </row>
    <row r="192" spans="1:10" ht="20.25" customHeight="1" x14ac:dyDescent="0.35">
      <c r="A192" s="497" t="s">
        <v>1926</v>
      </c>
      <c r="B192" s="500" t="s">
        <v>1870</v>
      </c>
      <c r="C192" s="126" t="s">
        <v>521</v>
      </c>
      <c r="D192" s="210"/>
      <c r="E192" s="131"/>
      <c r="F192" s="211"/>
      <c r="G192" s="123"/>
      <c r="H192" s="203">
        <v>0</v>
      </c>
      <c r="I192" s="123">
        <v>0</v>
      </c>
      <c r="J192" s="204">
        <v>0</v>
      </c>
    </row>
    <row r="193" spans="1:10" ht="20.25" customHeight="1" x14ac:dyDescent="0.35">
      <c r="A193" s="497" t="s">
        <v>1926</v>
      </c>
      <c r="B193" s="500" t="s">
        <v>1871</v>
      </c>
      <c r="C193" s="126" t="s">
        <v>541</v>
      </c>
      <c r="D193" s="210" t="s">
        <v>1855</v>
      </c>
      <c r="E193" s="131" t="s">
        <v>1855</v>
      </c>
      <c r="F193" s="505" t="s">
        <v>1856</v>
      </c>
      <c r="G193" s="123"/>
      <c r="H193" s="203">
        <v>4</v>
      </c>
      <c r="I193" s="123">
        <v>4</v>
      </c>
      <c r="J193" s="204">
        <v>4</v>
      </c>
    </row>
    <row r="194" spans="1:10" ht="20.25" customHeight="1" x14ac:dyDescent="0.35">
      <c r="A194" s="497" t="s">
        <v>1926</v>
      </c>
      <c r="B194" s="500" t="s">
        <v>1872</v>
      </c>
      <c r="C194" s="126" t="s">
        <v>561</v>
      </c>
      <c r="D194" s="210"/>
      <c r="E194" s="504"/>
      <c r="F194" s="211"/>
      <c r="G194" s="198"/>
      <c r="H194" s="203">
        <v>0</v>
      </c>
      <c r="I194" s="123">
        <v>0</v>
      </c>
      <c r="J194" s="204">
        <v>0</v>
      </c>
    </row>
    <row r="195" spans="1:10" ht="20.25" customHeight="1" x14ac:dyDescent="0.35">
      <c r="A195" s="497" t="s">
        <v>1926</v>
      </c>
      <c r="B195" s="500" t="s">
        <v>1873</v>
      </c>
      <c r="C195" s="126" t="s">
        <v>423</v>
      </c>
      <c r="D195" s="210"/>
      <c r="E195" s="131"/>
      <c r="F195" s="211"/>
      <c r="G195" s="123"/>
      <c r="H195" s="203">
        <v>0</v>
      </c>
      <c r="I195" s="123">
        <v>0</v>
      </c>
      <c r="J195" s="204">
        <v>0</v>
      </c>
    </row>
    <row r="196" spans="1:10" ht="20.25" customHeight="1" x14ac:dyDescent="0.35">
      <c r="A196" s="497" t="s">
        <v>1926</v>
      </c>
      <c r="B196" s="500" t="s">
        <v>1874</v>
      </c>
      <c r="C196" s="126" t="s">
        <v>443</v>
      </c>
      <c r="D196" s="210"/>
      <c r="E196" s="504"/>
      <c r="F196" s="211"/>
      <c r="G196" s="198"/>
      <c r="H196" s="203">
        <v>0</v>
      </c>
      <c r="I196" s="123">
        <v>0</v>
      </c>
      <c r="J196" s="204">
        <v>0</v>
      </c>
    </row>
    <row r="197" spans="1:10" ht="20.25" customHeight="1" x14ac:dyDescent="0.35">
      <c r="A197" s="497" t="s">
        <v>1926</v>
      </c>
      <c r="B197" s="500" t="s">
        <v>1876</v>
      </c>
      <c r="C197" s="126" t="s">
        <v>463</v>
      </c>
      <c r="D197" s="506" t="s">
        <v>1856</v>
      </c>
      <c r="E197" s="507" t="s">
        <v>1856</v>
      </c>
      <c r="F197" s="505" t="s">
        <v>1856</v>
      </c>
      <c r="G197" s="123"/>
      <c r="H197" s="203">
        <v>4</v>
      </c>
      <c r="I197" s="123">
        <v>4</v>
      </c>
      <c r="J197" s="204">
        <v>4</v>
      </c>
    </row>
    <row r="198" spans="1:10" ht="20.25" customHeight="1" x14ac:dyDescent="0.35">
      <c r="A198" s="497" t="s">
        <v>1926</v>
      </c>
      <c r="B198" s="500" t="s">
        <v>1879</v>
      </c>
      <c r="C198" s="126" t="s">
        <v>483</v>
      </c>
      <c r="D198" s="210" t="s">
        <v>1840</v>
      </c>
      <c r="E198" s="504"/>
      <c r="F198" s="211"/>
      <c r="G198" s="198"/>
      <c r="H198" s="203">
        <v>1</v>
      </c>
      <c r="I198" s="123">
        <v>0</v>
      </c>
      <c r="J198" s="204">
        <v>0</v>
      </c>
    </row>
    <row r="199" spans="1:10" ht="20.25" customHeight="1" x14ac:dyDescent="0.35">
      <c r="A199" s="497" t="s">
        <v>1926</v>
      </c>
      <c r="B199" s="500" t="s">
        <v>1880</v>
      </c>
      <c r="C199" s="126" t="s">
        <v>503</v>
      </c>
      <c r="D199" s="210" t="s">
        <v>1840</v>
      </c>
      <c r="E199" s="131"/>
      <c r="F199" s="211"/>
      <c r="G199" s="123"/>
      <c r="H199" s="203">
        <v>1</v>
      </c>
      <c r="I199" s="123">
        <v>0</v>
      </c>
      <c r="J199" s="204">
        <v>0</v>
      </c>
    </row>
    <row r="200" spans="1:10" ht="20.25" customHeight="1" x14ac:dyDescent="0.35">
      <c r="A200" s="497" t="s">
        <v>1926</v>
      </c>
      <c r="B200" s="500" t="s">
        <v>1881</v>
      </c>
      <c r="C200" s="126" t="s">
        <v>523</v>
      </c>
      <c r="D200" s="210"/>
      <c r="E200" s="131"/>
      <c r="F200" s="211"/>
      <c r="G200" s="123"/>
      <c r="H200" s="203">
        <v>0</v>
      </c>
      <c r="I200" s="123">
        <v>0</v>
      </c>
      <c r="J200" s="204">
        <v>0</v>
      </c>
    </row>
    <row r="201" spans="1:10" ht="20.25" customHeight="1" x14ac:dyDescent="0.35">
      <c r="A201" s="497" t="s">
        <v>1926</v>
      </c>
      <c r="B201" s="500" t="s">
        <v>1882</v>
      </c>
      <c r="C201" s="126" t="s">
        <v>543</v>
      </c>
      <c r="D201" s="210" t="s">
        <v>1855</v>
      </c>
      <c r="E201" s="507" t="s">
        <v>1856</v>
      </c>
      <c r="F201" s="505" t="s">
        <v>1856</v>
      </c>
      <c r="G201" s="123"/>
      <c r="H201" s="203">
        <v>4</v>
      </c>
      <c r="I201" s="123">
        <v>4</v>
      </c>
      <c r="J201" s="204">
        <v>4</v>
      </c>
    </row>
    <row r="202" spans="1:10" ht="20.25" customHeight="1" x14ac:dyDescent="0.35">
      <c r="A202" s="497" t="s">
        <v>1926</v>
      </c>
      <c r="B202" s="500" t="s">
        <v>1883</v>
      </c>
      <c r="C202" s="126" t="s">
        <v>563</v>
      </c>
      <c r="D202" s="210"/>
      <c r="E202" s="131"/>
      <c r="F202" s="211"/>
      <c r="G202" s="123"/>
      <c r="H202" s="203">
        <v>0</v>
      </c>
      <c r="I202" s="123">
        <v>0</v>
      </c>
      <c r="J202" s="204">
        <v>0</v>
      </c>
    </row>
    <row r="203" spans="1:10" ht="20.25" customHeight="1" x14ac:dyDescent="0.35">
      <c r="A203" s="497" t="s">
        <v>1926</v>
      </c>
      <c r="B203" s="500" t="s">
        <v>1884</v>
      </c>
      <c r="C203" s="126" t="s">
        <v>425</v>
      </c>
      <c r="D203" s="210"/>
      <c r="E203" s="131"/>
      <c r="F203" s="211"/>
      <c r="G203" s="123"/>
      <c r="H203" s="203">
        <v>0</v>
      </c>
      <c r="I203" s="123">
        <v>0</v>
      </c>
      <c r="J203" s="204">
        <v>0</v>
      </c>
    </row>
    <row r="204" spans="1:10" ht="20.25" customHeight="1" x14ac:dyDescent="0.35">
      <c r="A204" s="497" t="s">
        <v>1926</v>
      </c>
      <c r="B204" s="500" t="s">
        <v>1885</v>
      </c>
      <c r="C204" s="126" t="s">
        <v>445</v>
      </c>
      <c r="D204" s="210"/>
      <c r="E204" s="131"/>
      <c r="F204" s="211"/>
      <c r="G204" s="123"/>
      <c r="H204" s="203">
        <v>0</v>
      </c>
      <c r="I204" s="123">
        <v>0</v>
      </c>
      <c r="J204" s="204">
        <v>0</v>
      </c>
    </row>
    <row r="205" spans="1:10" ht="20.25" customHeight="1" x14ac:dyDescent="0.35">
      <c r="A205" s="497" t="s">
        <v>1926</v>
      </c>
      <c r="B205" s="500" t="s">
        <v>1886</v>
      </c>
      <c r="C205" s="126" t="s">
        <v>465</v>
      </c>
      <c r="D205" s="210" t="s">
        <v>1840</v>
      </c>
      <c r="E205" s="131"/>
      <c r="F205" s="211" t="s">
        <v>1831</v>
      </c>
      <c r="G205" s="123"/>
      <c r="H205" s="203">
        <v>1</v>
      </c>
      <c r="I205" s="123">
        <v>0</v>
      </c>
      <c r="J205" s="204">
        <v>1</v>
      </c>
    </row>
    <row r="206" spans="1:10" ht="20.25" customHeight="1" x14ac:dyDescent="0.35">
      <c r="A206" s="497" t="s">
        <v>1926</v>
      </c>
      <c r="B206" s="500" t="s">
        <v>1887</v>
      </c>
      <c r="C206" s="126" t="s">
        <v>485</v>
      </c>
      <c r="D206" s="210"/>
      <c r="E206" s="504"/>
      <c r="F206" s="211"/>
      <c r="G206" s="198"/>
      <c r="H206" s="203">
        <v>0</v>
      </c>
      <c r="I206" s="123">
        <v>0</v>
      </c>
      <c r="J206" s="204">
        <v>0</v>
      </c>
    </row>
    <row r="207" spans="1:10" ht="20.25" customHeight="1" x14ac:dyDescent="0.35">
      <c r="A207" s="497" t="s">
        <v>1926</v>
      </c>
      <c r="B207" s="500" t="s">
        <v>1888</v>
      </c>
      <c r="C207" s="126" t="s">
        <v>505</v>
      </c>
      <c r="D207" s="210"/>
      <c r="E207" s="131"/>
      <c r="F207" s="211"/>
      <c r="G207" s="123"/>
      <c r="H207" s="203">
        <v>0</v>
      </c>
      <c r="I207" s="123">
        <v>0</v>
      </c>
      <c r="J207" s="204">
        <v>0</v>
      </c>
    </row>
    <row r="208" spans="1:10" ht="20.25" customHeight="1" x14ac:dyDescent="0.35">
      <c r="A208" s="497" t="s">
        <v>1926</v>
      </c>
      <c r="B208" s="500" t="s">
        <v>1889</v>
      </c>
      <c r="C208" s="126" t="s">
        <v>525</v>
      </c>
      <c r="D208" s="210"/>
      <c r="E208" s="131"/>
      <c r="F208" s="211"/>
      <c r="G208" s="123"/>
      <c r="H208" s="203">
        <v>0</v>
      </c>
      <c r="I208" s="123">
        <v>0</v>
      </c>
      <c r="J208" s="204">
        <v>0</v>
      </c>
    </row>
    <row r="209" spans="1:10" ht="20.25" customHeight="1" x14ac:dyDescent="0.35">
      <c r="A209" s="497" t="s">
        <v>1926</v>
      </c>
      <c r="B209" s="500" t="s">
        <v>1890</v>
      </c>
      <c r="C209" s="126" t="s">
        <v>545</v>
      </c>
      <c r="D209" s="210" t="s">
        <v>903</v>
      </c>
      <c r="E209" s="131" t="s">
        <v>1831</v>
      </c>
      <c r="F209" s="211"/>
      <c r="G209" s="123"/>
      <c r="H209" s="203">
        <v>1</v>
      </c>
      <c r="I209" s="123">
        <v>1</v>
      </c>
      <c r="J209" s="204">
        <v>0</v>
      </c>
    </row>
    <row r="210" spans="1:10" ht="20.25" customHeight="1" x14ac:dyDescent="0.35">
      <c r="A210" s="497" t="s">
        <v>1926</v>
      </c>
      <c r="B210" s="500" t="s">
        <v>1891</v>
      </c>
      <c r="C210" s="126" t="s">
        <v>565</v>
      </c>
      <c r="D210" s="210"/>
      <c r="E210" s="131"/>
      <c r="F210" s="211"/>
      <c r="G210" s="123"/>
      <c r="H210" s="203">
        <v>0</v>
      </c>
      <c r="I210" s="123">
        <v>0</v>
      </c>
      <c r="J210" s="204">
        <v>0</v>
      </c>
    </row>
    <row r="211" spans="1:10" ht="20.25" customHeight="1" x14ac:dyDescent="0.35">
      <c r="A211" s="497" t="s">
        <v>1926</v>
      </c>
      <c r="B211" s="500" t="s">
        <v>1892</v>
      </c>
      <c r="C211" s="126" t="s">
        <v>427</v>
      </c>
      <c r="D211" s="210"/>
      <c r="E211" s="131"/>
      <c r="F211" s="211"/>
      <c r="G211" s="123"/>
      <c r="H211" s="203">
        <v>0</v>
      </c>
      <c r="I211" s="123">
        <v>0</v>
      </c>
      <c r="J211" s="204">
        <v>0</v>
      </c>
    </row>
    <row r="212" spans="1:10" ht="20.25" customHeight="1" x14ac:dyDescent="0.35">
      <c r="A212" s="497" t="s">
        <v>1926</v>
      </c>
      <c r="B212" s="500" t="s">
        <v>1893</v>
      </c>
      <c r="C212" s="126" t="s">
        <v>447</v>
      </c>
      <c r="D212" s="210" t="s">
        <v>1840</v>
      </c>
      <c r="E212" s="131"/>
      <c r="F212" s="211"/>
      <c r="G212" s="123"/>
      <c r="H212" s="203">
        <v>1</v>
      </c>
      <c r="I212" s="123">
        <v>0</v>
      </c>
      <c r="J212" s="204">
        <v>0</v>
      </c>
    </row>
    <row r="213" spans="1:10" ht="20.25" customHeight="1" x14ac:dyDescent="0.35">
      <c r="A213" s="497" t="s">
        <v>1926</v>
      </c>
      <c r="B213" s="500" t="s">
        <v>1894</v>
      </c>
      <c r="C213" s="126" t="s">
        <v>467</v>
      </c>
      <c r="D213" s="210"/>
      <c r="E213" s="504"/>
      <c r="F213" s="211"/>
      <c r="G213" s="198"/>
      <c r="H213" s="203">
        <v>0</v>
      </c>
      <c r="I213" s="123">
        <v>0</v>
      </c>
      <c r="J213" s="204">
        <v>0</v>
      </c>
    </row>
    <row r="214" spans="1:10" ht="20.25" customHeight="1" x14ac:dyDescent="0.35">
      <c r="A214" s="497" t="s">
        <v>1926</v>
      </c>
      <c r="B214" s="500" t="s">
        <v>1895</v>
      </c>
      <c r="C214" s="126" t="s">
        <v>487</v>
      </c>
      <c r="D214" s="210"/>
      <c r="E214" s="504"/>
      <c r="F214" s="211"/>
      <c r="G214" s="198"/>
      <c r="H214" s="203">
        <v>0</v>
      </c>
      <c r="I214" s="123">
        <v>0</v>
      </c>
      <c r="J214" s="204">
        <v>0</v>
      </c>
    </row>
    <row r="215" spans="1:10" ht="20.25" customHeight="1" x14ac:dyDescent="0.35">
      <c r="A215" s="497" t="s">
        <v>1926</v>
      </c>
      <c r="B215" s="500" t="s">
        <v>1896</v>
      </c>
      <c r="C215" s="126" t="s">
        <v>507</v>
      </c>
      <c r="D215" s="210" t="s">
        <v>1928</v>
      </c>
      <c r="E215" s="507" t="s">
        <v>1856</v>
      </c>
      <c r="F215" s="505" t="s">
        <v>1856</v>
      </c>
      <c r="G215" s="123"/>
      <c r="H215" s="203">
        <v>4</v>
      </c>
      <c r="I215" s="123">
        <v>4</v>
      </c>
      <c r="J215" s="204">
        <v>4</v>
      </c>
    </row>
    <row r="216" spans="1:10" ht="20.25" customHeight="1" x14ac:dyDescent="0.35">
      <c r="A216" s="497" t="s">
        <v>1926</v>
      </c>
      <c r="B216" s="500" t="s">
        <v>1897</v>
      </c>
      <c r="C216" s="126" t="s">
        <v>527</v>
      </c>
      <c r="D216" s="210" t="s">
        <v>1929</v>
      </c>
      <c r="E216" s="507" t="s">
        <v>1856</v>
      </c>
      <c r="F216" s="505" t="s">
        <v>1856</v>
      </c>
      <c r="G216" s="123"/>
      <c r="H216" s="203">
        <v>4</v>
      </c>
      <c r="I216" s="123">
        <v>4</v>
      </c>
      <c r="J216" s="204">
        <v>4</v>
      </c>
    </row>
    <row r="217" spans="1:10" ht="20.25" customHeight="1" x14ac:dyDescent="0.35">
      <c r="A217" s="497" t="s">
        <v>1926</v>
      </c>
      <c r="B217" s="500" t="s">
        <v>1898</v>
      </c>
      <c r="C217" s="126" t="s">
        <v>547</v>
      </c>
      <c r="D217" s="210"/>
      <c r="E217" s="504" t="s">
        <v>1831</v>
      </c>
      <c r="F217" s="211"/>
      <c r="G217" s="198"/>
      <c r="H217" s="203">
        <v>0</v>
      </c>
      <c r="I217" s="123">
        <v>1</v>
      </c>
      <c r="J217" s="204">
        <v>0</v>
      </c>
    </row>
    <row r="218" spans="1:10" ht="20.25" customHeight="1" x14ac:dyDescent="0.35">
      <c r="A218" s="497" t="s">
        <v>1926</v>
      </c>
      <c r="B218" s="500" t="s">
        <v>1899</v>
      </c>
      <c r="C218" s="126" t="s">
        <v>567</v>
      </c>
      <c r="D218" s="210"/>
      <c r="E218" s="131"/>
      <c r="F218" s="211"/>
      <c r="G218" s="123"/>
      <c r="H218" s="203">
        <v>0</v>
      </c>
      <c r="I218" s="123">
        <v>0</v>
      </c>
      <c r="J218" s="204">
        <v>0</v>
      </c>
    </row>
    <row r="219" spans="1:10" ht="20.25" customHeight="1" x14ac:dyDescent="0.35">
      <c r="A219" s="497" t="s">
        <v>1926</v>
      </c>
      <c r="B219" s="500" t="s">
        <v>1900</v>
      </c>
      <c r="C219" s="126" t="s">
        <v>429</v>
      </c>
      <c r="D219" s="210"/>
      <c r="E219" s="131"/>
      <c r="F219" s="211" t="s">
        <v>1831</v>
      </c>
      <c r="G219" s="123"/>
      <c r="H219" s="203">
        <v>0</v>
      </c>
      <c r="I219" s="123">
        <v>0</v>
      </c>
      <c r="J219" s="204">
        <v>1</v>
      </c>
    </row>
    <row r="220" spans="1:10" ht="20.25" customHeight="1" x14ac:dyDescent="0.35">
      <c r="A220" s="497" t="s">
        <v>1926</v>
      </c>
      <c r="B220" s="500" t="s">
        <v>1902</v>
      </c>
      <c r="C220" s="126" t="s">
        <v>449</v>
      </c>
      <c r="D220" s="210"/>
      <c r="E220" s="131"/>
      <c r="F220" s="211"/>
      <c r="G220" s="123"/>
      <c r="H220" s="203">
        <v>0</v>
      </c>
      <c r="I220" s="123">
        <v>0</v>
      </c>
      <c r="J220" s="204">
        <v>0</v>
      </c>
    </row>
    <row r="221" spans="1:10" ht="20.25" customHeight="1" x14ac:dyDescent="0.35">
      <c r="A221" s="497" t="s">
        <v>1926</v>
      </c>
      <c r="B221" s="500" t="s">
        <v>1904</v>
      </c>
      <c r="C221" s="126" t="s">
        <v>469</v>
      </c>
      <c r="D221" s="210"/>
      <c r="E221" s="131"/>
      <c r="F221" s="211"/>
      <c r="G221" s="123"/>
      <c r="H221" s="203">
        <v>0</v>
      </c>
      <c r="I221" s="123">
        <v>0</v>
      </c>
      <c r="J221" s="204">
        <v>0</v>
      </c>
    </row>
    <row r="222" spans="1:10" ht="20.25" customHeight="1" x14ac:dyDescent="0.35">
      <c r="A222" s="497" t="s">
        <v>1926</v>
      </c>
      <c r="B222" s="500" t="s">
        <v>1905</v>
      </c>
      <c r="C222" s="126" t="s">
        <v>489</v>
      </c>
      <c r="D222" s="210" t="s">
        <v>1831</v>
      </c>
      <c r="E222" s="131" t="s">
        <v>1836</v>
      </c>
      <c r="F222" s="211" t="s">
        <v>1855</v>
      </c>
      <c r="G222" s="123"/>
      <c r="H222" s="203">
        <v>1</v>
      </c>
      <c r="I222" s="123">
        <v>2</v>
      </c>
      <c r="J222" s="204">
        <v>4</v>
      </c>
    </row>
    <row r="223" spans="1:10" ht="20.25" customHeight="1" x14ac:dyDescent="0.35">
      <c r="A223" s="497" t="s">
        <v>1926</v>
      </c>
      <c r="B223" s="500" t="s">
        <v>1906</v>
      </c>
      <c r="C223" s="126" t="s">
        <v>509</v>
      </c>
      <c r="D223" s="210"/>
      <c r="E223" s="131"/>
      <c r="F223" s="211"/>
      <c r="G223" s="123"/>
      <c r="H223" s="203">
        <v>0</v>
      </c>
      <c r="I223" s="123">
        <v>0</v>
      </c>
      <c r="J223" s="204">
        <v>0</v>
      </c>
    </row>
    <row r="224" spans="1:10" ht="20.25" customHeight="1" x14ac:dyDescent="0.35">
      <c r="A224" s="497" t="s">
        <v>1926</v>
      </c>
      <c r="B224" s="500" t="s">
        <v>1908</v>
      </c>
      <c r="C224" s="126" t="s">
        <v>529</v>
      </c>
      <c r="D224" s="210" t="s">
        <v>1878</v>
      </c>
      <c r="E224" s="131" t="s">
        <v>1831</v>
      </c>
      <c r="F224" s="211"/>
      <c r="G224" s="123"/>
      <c r="H224" s="203">
        <v>1</v>
      </c>
      <c r="I224" s="123">
        <v>1</v>
      </c>
      <c r="J224" s="204">
        <v>0</v>
      </c>
    </row>
    <row r="225" spans="1:10" ht="20.25" customHeight="1" x14ac:dyDescent="0.35">
      <c r="A225" s="497" t="s">
        <v>1926</v>
      </c>
      <c r="B225" s="500" t="s">
        <v>1910</v>
      </c>
      <c r="C225" s="126" t="s">
        <v>549</v>
      </c>
      <c r="D225" s="210"/>
      <c r="E225" s="131"/>
      <c r="F225" s="211"/>
      <c r="G225" s="123"/>
      <c r="H225" s="203">
        <v>0</v>
      </c>
      <c r="I225" s="123">
        <v>0</v>
      </c>
      <c r="J225" s="204">
        <v>0</v>
      </c>
    </row>
    <row r="226" spans="1:10" ht="20.25" customHeight="1" x14ac:dyDescent="0.35">
      <c r="A226" s="497" t="s">
        <v>1926</v>
      </c>
      <c r="B226" s="500" t="s">
        <v>1911</v>
      </c>
      <c r="C226" s="126" t="s">
        <v>569</v>
      </c>
      <c r="D226" s="210"/>
      <c r="E226" s="131"/>
      <c r="F226" s="211"/>
      <c r="G226" s="123"/>
      <c r="H226" s="203">
        <v>0</v>
      </c>
      <c r="I226" s="123">
        <v>0</v>
      </c>
      <c r="J226" s="204">
        <v>0</v>
      </c>
    </row>
    <row r="227" spans="1:10" ht="20.25" customHeight="1" x14ac:dyDescent="0.35">
      <c r="A227" s="497" t="s">
        <v>1926</v>
      </c>
      <c r="B227" s="500" t="s">
        <v>35</v>
      </c>
      <c r="C227" s="126" t="s">
        <v>431</v>
      </c>
      <c r="D227" s="210"/>
      <c r="E227" s="131"/>
      <c r="F227" s="211"/>
      <c r="G227" s="123"/>
      <c r="H227" s="203">
        <v>0</v>
      </c>
      <c r="I227" s="123">
        <v>0</v>
      </c>
      <c r="J227" s="204">
        <v>0</v>
      </c>
    </row>
    <row r="228" spans="1:10" ht="20.25" customHeight="1" x14ac:dyDescent="0.35">
      <c r="A228" s="497" t="s">
        <v>1926</v>
      </c>
      <c r="B228" s="500" t="s">
        <v>65</v>
      </c>
      <c r="C228" s="126" t="s">
        <v>451</v>
      </c>
      <c r="D228" s="210"/>
      <c r="E228" s="131" t="s">
        <v>1831</v>
      </c>
      <c r="F228" s="211" t="s">
        <v>1831</v>
      </c>
      <c r="G228" s="123"/>
      <c r="H228" s="203">
        <v>0</v>
      </c>
      <c r="I228" s="123">
        <v>1</v>
      </c>
      <c r="J228" s="204">
        <v>1</v>
      </c>
    </row>
    <row r="229" spans="1:10" ht="20.25" customHeight="1" x14ac:dyDescent="0.35">
      <c r="A229" s="497" t="s">
        <v>1926</v>
      </c>
      <c r="B229" s="500" t="s">
        <v>95</v>
      </c>
      <c r="C229" s="126" t="s">
        <v>471</v>
      </c>
      <c r="D229" s="210"/>
      <c r="E229" s="131"/>
      <c r="F229" s="211" t="s">
        <v>1831</v>
      </c>
      <c r="G229" s="123"/>
      <c r="H229" s="203">
        <v>0</v>
      </c>
      <c r="I229" s="123">
        <v>0</v>
      </c>
      <c r="J229" s="204">
        <v>1</v>
      </c>
    </row>
    <row r="230" spans="1:10" ht="20.25" customHeight="1" x14ac:dyDescent="0.35">
      <c r="A230" s="497" t="s">
        <v>1926</v>
      </c>
      <c r="B230" s="500" t="s">
        <v>125</v>
      </c>
      <c r="C230" s="126" t="s">
        <v>491</v>
      </c>
      <c r="D230" s="210"/>
      <c r="E230" s="131"/>
      <c r="F230" s="211"/>
      <c r="G230" s="123"/>
      <c r="H230" s="203">
        <v>0</v>
      </c>
      <c r="I230" s="123">
        <v>0</v>
      </c>
      <c r="J230" s="204">
        <v>0</v>
      </c>
    </row>
    <row r="231" spans="1:10" ht="20.25" customHeight="1" x14ac:dyDescent="0.35">
      <c r="A231" s="497" t="s">
        <v>1926</v>
      </c>
      <c r="B231" s="500" t="s">
        <v>155</v>
      </c>
      <c r="C231" s="126" t="s">
        <v>511</v>
      </c>
      <c r="D231" s="210"/>
      <c r="E231" s="504"/>
      <c r="F231" s="211"/>
      <c r="G231" s="198"/>
      <c r="H231" s="203">
        <v>0</v>
      </c>
      <c r="I231" s="123">
        <v>0</v>
      </c>
      <c r="J231" s="204">
        <v>0</v>
      </c>
    </row>
    <row r="232" spans="1:10" ht="20.25" customHeight="1" x14ac:dyDescent="0.35">
      <c r="A232" s="497" t="s">
        <v>1926</v>
      </c>
      <c r="B232" s="500" t="s">
        <v>185</v>
      </c>
      <c r="C232" s="126" t="s">
        <v>531</v>
      </c>
      <c r="D232" s="210" t="s">
        <v>1830</v>
      </c>
      <c r="E232" s="504" t="s">
        <v>1907</v>
      </c>
      <c r="F232" s="211" t="s">
        <v>1930</v>
      </c>
      <c r="G232" s="198"/>
      <c r="H232" s="203">
        <v>2</v>
      </c>
      <c r="I232" s="123">
        <v>1</v>
      </c>
      <c r="J232" s="204">
        <v>4</v>
      </c>
    </row>
    <row r="233" spans="1:10" ht="20.25" customHeight="1" x14ac:dyDescent="0.35">
      <c r="A233" s="497" t="s">
        <v>1926</v>
      </c>
      <c r="B233" s="500" t="s">
        <v>215</v>
      </c>
      <c r="C233" s="126" t="s">
        <v>551</v>
      </c>
      <c r="D233" s="210"/>
      <c r="E233" s="131"/>
      <c r="F233" s="211"/>
      <c r="G233" s="123"/>
      <c r="H233" s="203">
        <v>0</v>
      </c>
      <c r="I233" s="123">
        <v>0</v>
      </c>
      <c r="J233" s="204">
        <v>0</v>
      </c>
    </row>
    <row r="234" spans="1:10" ht="20.25" customHeight="1" x14ac:dyDescent="0.35">
      <c r="A234" s="497" t="s">
        <v>1926</v>
      </c>
      <c r="B234" s="500" t="s">
        <v>245</v>
      </c>
      <c r="C234" s="126" t="s">
        <v>571</v>
      </c>
      <c r="D234" s="210"/>
      <c r="E234" s="131"/>
      <c r="F234" s="211"/>
      <c r="G234" s="123"/>
      <c r="H234" s="203">
        <v>0</v>
      </c>
      <c r="I234" s="123">
        <v>0</v>
      </c>
      <c r="J234" s="204">
        <v>0</v>
      </c>
    </row>
    <row r="235" spans="1:10" ht="20.25" customHeight="1" x14ac:dyDescent="0.35">
      <c r="A235" s="497" t="s">
        <v>1926</v>
      </c>
      <c r="B235" s="500" t="s">
        <v>38</v>
      </c>
      <c r="C235" s="126" t="s">
        <v>433</v>
      </c>
      <c r="D235" s="210"/>
      <c r="E235" s="131"/>
      <c r="F235" s="211"/>
      <c r="G235" s="123"/>
      <c r="H235" s="203">
        <v>0</v>
      </c>
      <c r="I235" s="123">
        <v>0</v>
      </c>
      <c r="J235" s="204">
        <v>0</v>
      </c>
    </row>
    <row r="236" spans="1:10" ht="20.25" customHeight="1" x14ac:dyDescent="0.35">
      <c r="A236" s="497" t="s">
        <v>1926</v>
      </c>
      <c r="B236" s="500" t="s">
        <v>68</v>
      </c>
      <c r="C236" s="126" t="s">
        <v>453</v>
      </c>
      <c r="D236" s="210"/>
      <c r="E236" s="504"/>
      <c r="F236" s="211"/>
      <c r="G236" s="198"/>
      <c r="H236" s="203">
        <v>0</v>
      </c>
      <c r="I236" s="123">
        <v>0</v>
      </c>
      <c r="J236" s="204">
        <v>0</v>
      </c>
    </row>
    <row r="237" spans="1:10" ht="20.25" customHeight="1" x14ac:dyDescent="0.35">
      <c r="A237" s="497" t="s">
        <v>1926</v>
      </c>
      <c r="B237" s="500" t="s">
        <v>98</v>
      </c>
      <c r="C237" s="126" t="s">
        <v>473</v>
      </c>
      <c r="D237" s="210"/>
      <c r="E237" s="131"/>
      <c r="F237" s="211" t="s">
        <v>1878</v>
      </c>
      <c r="G237" s="123"/>
      <c r="H237" s="203">
        <v>0</v>
      </c>
      <c r="I237" s="123">
        <v>0</v>
      </c>
      <c r="J237" s="204">
        <v>1</v>
      </c>
    </row>
    <row r="238" spans="1:10" ht="20.25" customHeight="1" x14ac:dyDescent="0.35">
      <c r="A238" s="497" t="s">
        <v>1926</v>
      </c>
      <c r="B238" s="500" t="s">
        <v>128</v>
      </c>
      <c r="C238" s="126" t="s">
        <v>493</v>
      </c>
      <c r="D238" s="210" t="s">
        <v>1840</v>
      </c>
      <c r="E238" s="504"/>
      <c r="F238" s="211"/>
      <c r="G238" s="198"/>
      <c r="H238" s="203">
        <v>1</v>
      </c>
      <c r="I238" s="123">
        <v>0</v>
      </c>
      <c r="J238" s="204">
        <v>0</v>
      </c>
    </row>
    <row r="239" spans="1:10" ht="20.25" customHeight="1" x14ac:dyDescent="0.35">
      <c r="A239" s="497" t="s">
        <v>1926</v>
      </c>
      <c r="B239" s="500" t="s">
        <v>158</v>
      </c>
      <c r="C239" s="126" t="s">
        <v>513</v>
      </c>
      <c r="D239" s="210"/>
      <c r="E239" s="131"/>
      <c r="F239" s="211"/>
      <c r="G239" s="123"/>
      <c r="H239" s="203">
        <v>0</v>
      </c>
      <c r="I239" s="123">
        <v>0</v>
      </c>
      <c r="J239" s="204">
        <v>0</v>
      </c>
    </row>
    <row r="240" spans="1:10" ht="20.25" customHeight="1" x14ac:dyDescent="0.35">
      <c r="A240" s="497" t="s">
        <v>1926</v>
      </c>
      <c r="B240" s="500" t="s">
        <v>188</v>
      </c>
      <c r="C240" s="126" t="s">
        <v>533</v>
      </c>
      <c r="D240" s="210"/>
      <c r="E240" s="131"/>
      <c r="F240" s="211"/>
      <c r="G240" s="123"/>
      <c r="H240" s="203">
        <v>0</v>
      </c>
      <c r="I240" s="123">
        <v>0</v>
      </c>
      <c r="J240" s="204">
        <v>0</v>
      </c>
    </row>
    <row r="241" spans="1:10" ht="20.25" customHeight="1" x14ac:dyDescent="0.35">
      <c r="A241" s="497" t="s">
        <v>1926</v>
      </c>
      <c r="B241" s="500" t="s">
        <v>218</v>
      </c>
      <c r="C241" s="126" t="s">
        <v>553</v>
      </c>
      <c r="D241" s="210"/>
      <c r="E241" s="131"/>
      <c r="F241" s="211"/>
      <c r="G241" s="123"/>
      <c r="H241" s="203">
        <v>0</v>
      </c>
      <c r="I241" s="123">
        <v>0</v>
      </c>
      <c r="J241" s="204">
        <v>0</v>
      </c>
    </row>
    <row r="242" spans="1:10" ht="20.25" customHeight="1" thickBot="1" x14ac:dyDescent="0.4">
      <c r="A242" s="497" t="s">
        <v>1926</v>
      </c>
      <c r="B242" s="510" t="s">
        <v>248</v>
      </c>
      <c r="C242" s="199" t="s">
        <v>573</v>
      </c>
      <c r="D242" s="210"/>
      <c r="E242" s="131"/>
      <c r="F242" s="211"/>
      <c r="G242" s="123"/>
      <c r="H242" s="203">
        <v>0</v>
      </c>
      <c r="I242" s="123">
        <v>0</v>
      </c>
      <c r="J242" s="204">
        <v>0</v>
      </c>
    </row>
    <row r="243" spans="1:10" ht="20.25" customHeight="1" x14ac:dyDescent="0.35">
      <c r="A243" s="497" t="s">
        <v>1931</v>
      </c>
      <c r="B243" s="500" t="s">
        <v>1825</v>
      </c>
      <c r="C243" s="126" t="s">
        <v>576</v>
      </c>
      <c r="D243" s="210"/>
      <c r="E243" s="131"/>
      <c r="F243" s="211"/>
      <c r="G243" s="123"/>
      <c r="H243" s="203">
        <v>0</v>
      </c>
      <c r="I243" s="123">
        <v>0</v>
      </c>
      <c r="J243" s="204">
        <v>0</v>
      </c>
    </row>
    <row r="244" spans="1:10" ht="20.25" customHeight="1" x14ac:dyDescent="0.35">
      <c r="A244" s="497" t="s">
        <v>1931</v>
      </c>
      <c r="B244" s="500" t="s">
        <v>1826</v>
      </c>
      <c r="C244" s="126" t="s">
        <v>596</v>
      </c>
      <c r="D244" s="210"/>
      <c r="E244" s="131"/>
      <c r="F244" s="211"/>
      <c r="G244" s="123"/>
      <c r="H244" s="203">
        <v>0</v>
      </c>
      <c r="I244" s="123">
        <v>0</v>
      </c>
      <c r="J244" s="204">
        <v>0</v>
      </c>
    </row>
    <row r="245" spans="1:10" ht="20.25" customHeight="1" x14ac:dyDescent="0.35">
      <c r="A245" s="497" t="s">
        <v>1931</v>
      </c>
      <c r="B245" s="500" t="s">
        <v>1827</v>
      </c>
      <c r="C245" s="126" t="s">
        <v>616</v>
      </c>
      <c r="D245" s="210" t="s">
        <v>1840</v>
      </c>
      <c r="E245" s="504"/>
      <c r="F245" s="211"/>
      <c r="G245" s="198"/>
      <c r="H245" s="203">
        <v>1</v>
      </c>
      <c r="I245" s="123">
        <v>0</v>
      </c>
      <c r="J245" s="204">
        <v>0</v>
      </c>
    </row>
    <row r="246" spans="1:10" ht="20.25" customHeight="1" x14ac:dyDescent="0.35">
      <c r="A246" s="497" t="s">
        <v>1931</v>
      </c>
      <c r="B246" s="500" t="s">
        <v>1828</v>
      </c>
      <c r="C246" s="126" t="s">
        <v>636</v>
      </c>
      <c r="D246" s="210"/>
      <c r="E246" s="131"/>
      <c r="F246" s="211"/>
      <c r="G246" s="123"/>
      <c r="H246" s="203">
        <v>0</v>
      </c>
      <c r="I246" s="123">
        <v>0</v>
      </c>
      <c r="J246" s="204">
        <v>0</v>
      </c>
    </row>
    <row r="247" spans="1:10" ht="20.25" customHeight="1" x14ac:dyDescent="0.35">
      <c r="A247" s="497" t="s">
        <v>1931</v>
      </c>
      <c r="B247" s="500" t="s">
        <v>1829</v>
      </c>
      <c r="C247" s="126" t="s">
        <v>656</v>
      </c>
      <c r="D247" s="210" t="s">
        <v>1856</v>
      </c>
      <c r="E247" s="131" t="s">
        <v>1856</v>
      </c>
      <c r="F247" s="211" t="s">
        <v>1856</v>
      </c>
      <c r="G247" s="123"/>
      <c r="H247" s="203">
        <v>4</v>
      </c>
      <c r="I247" s="123">
        <v>4</v>
      </c>
      <c r="J247" s="204">
        <v>4</v>
      </c>
    </row>
    <row r="248" spans="1:10" ht="20.25" customHeight="1" x14ac:dyDescent="0.35">
      <c r="A248" s="497" t="s">
        <v>1931</v>
      </c>
      <c r="B248" s="500" t="s">
        <v>1832</v>
      </c>
      <c r="C248" s="126" t="s">
        <v>676</v>
      </c>
      <c r="D248" s="210"/>
      <c r="E248" s="131"/>
      <c r="F248" s="211"/>
      <c r="G248" s="123"/>
      <c r="H248" s="203">
        <v>0</v>
      </c>
      <c r="I248" s="123">
        <v>0</v>
      </c>
      <c r="J248" s="204">
        <v>0</v>
      </c>
    </row>
    <row r="249" spans="1:10" ht="20.25" customHeight="1" x14ac:dyDescent="0.35">
      <c r="A249" s="497" t="s">
        <v>1931</v>
      </c>
      <c r="B249" s="500" t="s">
        <v>1833</v>
      </c>
      <c r="C249" s="126" t="s">
        <v>696</v>
      </c>
      <c r="D249" s="210" t="s">
        <v>1831</v>
      </c>
      <c r="E249" s="131"/>
      <c r="F249" s="211" t="s">
        <v>1878</v>
      </c>
      <c r="G249" s="123"/>
      <c r="H249" s="203">
        <v>1</v>
      </c>
      <c r="I249" s="123">
        <v>0</v>
      </c>
      <c r="J249" s="204">
        <v>1</v>
      </c>
    </row>
    <row r="250" spans="1:10" ht="20.25" customHeight="1" x14ac:dyDescent="0.35">
      <c r="A250" s="497" t="s">
        <v>1931</v>
      </c>
      <c r="B250" s="500" t="s">
        <v>1834</v>
      </c>
      <c r="C250" s="126" t="s">
        <v>716</v>
      </c>
      <c r="D250" s="210" t="s">
        <v>1840</v>
      </c>
      <c r="E250" s="131"/>
      <c r="F250" s="211"/>
      <c r="G250" s="123"/>
      <c r="H250" s="203">
        <v>1</v>
      </c>
      <c r="I250" s="123">
        <v>0</v>
      </c>
      <c r="J250" s="204">
        <v>0</v>
      </c>
    </row>
    <row r="251" spans="1:10" ht="20.25" customHeight="1" x14ac:dyDescent="0.35">
      <c r="A251" s="497" t="s">
        <v>1931</v>
      </c>
      <c r="B251" s="500" t="s">
        <v>1835</v>
      </c>
      <c r="C251" s="126" t="s">
        <v>578</v>
      </c>
      <c r="D251" s="210" t="s">
        <v>903</v>
      </c>
      <c r="E251" s="131"/>
      <c r="F251" s="211"/>
      <c r="G251" s="123"/>
      <c r="H251" s="203">
        <v>1</v>
      </c>
      <c r="I251" s="123">
        <v>0</v>
      </c>
      <c r="J251" s="204">
        <v>0</v>
      </c>
    </row>
    <row r="252" spans="1:10" ht="20.25" customHeight="1" x14ac:dyDescent="0.35">
      <c r="A252" s="497" t="s">
        <v>1931</v>
      </c>
      <c r="B252" s="500" t="s">
        <v>1838</v>
      </c>
      <c r="C252" s="126" t="s">
        <v>598</v>
      </c>
      <c r="D252" s="210"/>
      <c r="E252" s="131"/>
      <c r="F252" s="211"/>
      <c r="G252" s="123"/>
      <c r="H252" s="203">
        <v>0</v>
      </c>
      <c r="I252" s="123">
        <v>0</v>
      </c>
      <c r="J252" s="204">
        <v>0</v>
      </c>
    </row>
    <row r="253" spans="1:10" ht="20.25" customHeight="1" x14ac:dyDescent="0.35">
      <c r="A253" s="497" t="s">
        <v>1931</v>
      </c>
      <c r="B253" s="500" t="s">
        <v>1839</v>
      </c>
      <c r="C253" s="126" t="s">
        <v>618</v>
      </c>
      <c r="D253" s="210"/>
      <c r="E253" s="131"/>
      <c r="F253" s="211"/>
      <c r="G253" s="123"/>
      <c r="H253" s="203">
        <v>0</v>
      </c>
      <c r="I253" s="123">
        <v>0</v>
      </c>
      <c r="J253" s="204">
        <v>0</v>
      </c>
    </row>
    <row r="254" spans="1:10" ht="20.25" customHeight="1" x14ac:dyDescent="0.35">
      <c r="A254" s="497" t="s">
        <v>1931</v>
      </c>
      <c r="B254" s="500" t="s">
        <v>1841</v>
      </c>
      <c r="C254" s="126" t="s">
        <v>638</v>
      </c>
      <c r="D254" s="210" t="s">
        <v>1840</v>
      </c>
      <c r="E254" s="131" t="s">
        <v>1840</v>
      </c>
      <c r="F254" s="211" t="s">
        <v>1840</v>
      </c>
      <c r="G254" s="123"/>
      <c r="H254" s="203">
        <v>1</v>
      </c>
      <c r="I254" s="123">
        <v>1</v>
      </c>
      <c r="J254" s="204">
        <v>1</v>
      </c>
    </row>
    <row r="255" spans="1:10" ht="20.25" customHeight="1" x14ac:dyDescent="0.35">
      <c r="A255" s="497" t="s">
        <v>1931</v>
      </c>
      <c r="B255" s="500" t="s">
        <v>1842</v>
      </c>
      <c r="C255" s="126" t="s">
        <v>658</v>
      </c>
      <c r="D255" s="210"/>
      <c r="E255" s="131"/>
      <c r="F255" s="211"/>
      <c r="G255" s="123"/>
      <c r="H255" s="203">
        <v>0</v>
      </c>
      <c r="I255" s="123">
        <v>0</v>
      </c>
      <c r="J255" s="204">
        <v>0</v>
      </c>
    </row>
    <row r="256" spans="1:10" ht="20.25" customHeight="1" x14ac:dyDescent="0.35">
      <c r="A256" s="497" t="s">
        <v>1931</v>
      </c>
      <c r="B256" s="500" t="s">
        <v>1843</v>
      </c>
      <c r="C256" s="126" t="s">
        <v>678</v>
      </c>
      <c r="D256" s="210"/>
      <c r="E256" s="131" t="s">
        <v>1831</v>
      </c>
      <c r="F256" s="211" t="s">
        <v>1836</v>
      </c>
      <c r="G256" s="123"/>
      <c r="H256" s="203">
        <v>0</v>
      </c>
      <c r="I256" s="123">
        <v>1</v>
      </c>
      <c r="J256" s="204">
        <v>2</v>
      </c>
    </row>
    <row r="257" spans="1:10" ht="20.25" customHeight="1" x14ac:dyDescent="0.35">
      <c r="A257" s="497" t="s">
        <v>1931</v>
      </c>
      <c r="B257" s="500" t="s">
        <v>1845</v>
      </c>
      <c r="C257" s="126" t="s">
        <v>698</v>
      </c>
      <c r="D257" s="210" t="s">
        <v>1877</v>
      </c>
      <c r="E257" s="131" t="s">
        <v>1855</v>
      </c>
      <c r="F257" s="505" t="s">
        <v>1856</v>
      </c>
      <c r="G257" s="123"/>
      <c r="H257" s="203">
        <v>2</v>
      </c>
      <c r="I257" s="123">
        <v>4</v>
      </c>
      <c r="J257" s="204">
        <v>4</v>
      </c>
    </row>
    <row r="258" spans="1:10" ht="20.25" customHeight="1" x14ac:dyDescent="0.35">
      <c r="A258" s="497" t="s">
        <v>1931</v>
      </c>
      <c r="B258" s="500" t="s">
        <v>1846</v>
      </c>
      <c r="C258" s="126" t="s">
        <v>718</v>
      </c>
      <c r="D258" s="210" t="s">
        <v>1877</v>
      </c>
      <c r="E258" s="131" t="s">
        <v>1855</v>
      </c>
      <c r="F258" s="505" t="s">
        <v>1856</v>
      </c>
      <c r="G258" s="123"/>
      <c r="H258" s="203">
        <v>2</v>
      </c>
      <c r="I258" s="123">
        <v>4</v>
      </c>
      <c r="J258" s="204">
        <v>4</v>
      </c>
    </row>
    <row r="259" spans="1:10" ht="20.25" customHeight="1" x14ac:dyDescent="0.35">
      <c r="A259" s="497" t="s">
        <v>1931</v>
      </c>
      <c r="B259" s="500" t="s">
        <v>1848</v>
      </c>
      <c r="C259" s="126" t="s">
        <v>580</v>
      </c>
      <c r="D259" s="210" t="s">
        <v>1831</v>
      </c>
      <c r="E259" s="131" t="s">
        <v>1875</v>
      </c>
      <c r="F259" s="211" t="s">
        <v>1855</v>
      </c>
      <c r="G259" s="123"/>
      <c r="H259" s="203">
        <v>1</v>
      </c>
      <c r="I259" s="123">
        <v>2</v>
      </c>
      <c r="J259" s="204">
        <v>4</v>
      </c>
    </row>
    <row r="260" spans="1:10" ht="20.25" customHeight="1" x14ac:dyDescent="0.35">
      <c r="A260" s="497" t="s">
        <v>1931</v>
      </c>
      <c r="B260" s="500" t="s">
        <v>1850</v>
      </c>
      <c r="C260" s="126" t="s">
        <v>600</v>
      </c>
      <c r="D260" s="210"/>
      <c r="E260" s="131"/>
      <c r="F260" s="211"/>
      <c r="G260" s="123"/>
      <c r="H260" s="203">
        <v>0</v>
      </c>
      <c r="I260" s="123">
        <v>0</v>
      </c>
      <c r="J260" s="204">
        <v>0</v>
      </c>
    </row>
    <row r="261" spans="1:10" ht="20.25" customHeight="1" x14ac:dyDescent="0.35">
      <c r="A261" s="497" t="s">
        <v>1931</v>
      </c>
      <c r="B261" s="500" t="s">
        <v>1852</v>
      </c>
      <c r="C261" s="126" t="s">
        <v>620</v>
      </c>
      <c r="D261" s="210"/>
      <c r="E261" s="131" t="s">
        <v>1836</v>
      </c>
      <c r="F261" s="211"/>
      <c r="G261" s="123"/>
      <c r="H261" s="203">
        <v>0</v>
      </c>
      <c r="I261" s="123">
        <v>2</v>
      </c>
      <c r="J261" s="204">
        <v>0</v>
      </c>
    </row>
    <row r="262" spans="1:10" ht="20.25" customHeight="1" x14ac:dyDescent="0.35">
      <c r="A262" s="497" t="s">
        <v>1931</v>
      </c>
      <c r="B262" s="500" t="s">
        <v>1854</v>
      </c>
      <c r="C262" s="126" t="s">
        <v>640</v>
      </c>
      <c r="D262" s="210"/>
      <c r="E262" s="131"/>
      <c r="F262" s="211"/>
      <c r="G262" s="123"/>
      <c r="H262" s="203">
        <v>0</v>
      </c>
      <c r="I262" s="123">
        <v>0</v>
      </c>
      <c r="J262" s="204">
        <v>0</v>
      </c>
    </row>
    <row r="263" spans="1:10" ht="20.25" customHeight="1" x14ac:dyDescent="0.35">
      <c r="A263" s="497" t="s">
        <v>1931</v>
      </c>
      <c r="B263" s="500" t="s">
        <v>1858</v>
      </c>
      <c r="C263" s="126" t="s">
        <v>660</v>
      </c>
      <c r="D263" s="210" t="s">
        <v>1932</v>
      </c>
      <c r="E263" s="504" t="s">
        <v>1837</v>
      </c>
      <c r="F263" s="211" t="s">
        <v>1915</v>
      </c>
      <c r="G263" s="198"/>
      <c r="H263" s="203">
        <v>3</v>
      </c>
      <c r="I263" s="123">
        <v>2</v>
      </c>
      <c r="J263" s="204">
        <v>2</v>
      </c>
    </row>
    <row r="264" spans="1:10" ht="20.25" customHeight="1" x14ac:dyDescent="0.35">
      <c r="A264" s="497" t="s">
        <v>1931</v>
      </c>
      <c r="B264" s="500" t="s">
        <v>1860</v>
      </c>
      <c r="C264" s="126" t="s">
        <v>680</v>
      </c>
      <c r="D264" s="210"/>
      <c r="E264" s="131"/>
      <c r="F264" s="211"/>
      <c r="G264" s="123"/>
      <c r="H264" s="203">
        <v>0</v>
      </c>
      <c r="I264" s="123">
        <v>0</v>
      </c>
      <c r="J264" s="204">
        <v>0</v>
      </c>
    </row>
    <row r="265" spans="1:10" ht="20.25" customHeight="1" x14ac:dyDescent="0.35">
      <c r="A265" s="497" t="s">
        <v>1931</v>
      </c>
      <c r="B265" s="500" t="s">
        <v>1862</v>
      </c>
      <c r="C265" s="126" t="s">
        <v>700</v>
      </c>
      <c r="D265" s="210"/>
      <c r="E265" s="131"/>
      <c r="F265" s="211" t="s">
        <v>1836</v>
      </c>
      <c r="G265" s="123"/>
      <c r="H265" s="203">
        <v>0</v>
      </c>
      <c r="I265" s="123">
        <v>0</v>
      </c>
      <c r="J265" s="204">
        <v>2</v>
      </c>
    </row>
    <row r="266" spans="1:10" ht="20.25" customHeight="1" x14ac:dyDescent="0.35">
      <c r="A266" s="497" t="s">
        <v>1931</v>
      </c>
      <c r="B266" s="500" t="s">
        <v>1863</v>
      </c>
      <c r="C266" s="126" t="s">
        <v>720</v>
      </c>
      <c r="D266" s="210"/>
      <c r="E266" s="131"/>
      <c r="F266" s="211"/>
      <c r="G266" s="123"/>
      <c r="H266" s="203">
        <v>0</v>
      </c>
      <c r="I266" s="123">
        <v>0</v>
      </c>
      <c r="J266" s="204">
        <v>0</v>
      </c>
    </row>
    <row r="267" spans="1:10" ht="20.25" customHeight="1" x14ac:dyDescent="0.35">
      <c r="A267" s="497" t="s">
        <v>1931</v>
      </c>
      <c r="B267" s="500" t="s">
        <v>1864</v>
      </c>
      <c r="C267" s="126" t="s">
        <v>582</v>
      </c>
      <c r="D267" s="210" t="s">
        <v>1830</v>
      </c>
      <c r="E267" s="504" t="s">
        <v>1831</v>
      </c>
      <c r="F267" s="211" t="s">
        <v>1831</v>
      </c>
      <c r="G267" s="198"/>
      <c r="H267" s="203">
        <v>2</v>
      </c>
      <c r="I267" s="123">
        <v>1</v>
      </c>
      <c r="J267" s="204">
        <v>1</v>
      </c>
    </row>
    <row r="268" spans="1:10" ht="20.25" customHeight="1" x14ac:dyDescent="0.35">
      <c r="A268" s="497" t="s">
        <v>1931</v>
      </c>
      <c r="B268" s="500" t="s">
        <v>1865</v>
      </c>
      <c r="C268" s="126" t="s">
        <v>602</v>
      </c>
      <c r="D268" s="210"/>
      <c r="E268" s="131"/>
      <c r="F268" s="211"/>
      <c r="G268" s="123"/>
      <c r="H268" s="203">
        <v>0</v>
      </c>
      <c r="I268" s="123">
        <v>0</v>
      </c>
      <c r="J268" s="204">
        <v>0</v>
      </c>
    </row>
    <row r="269" spans="1:10" ht="20.25" customHeight="1" x14ac:dyDescent="0.35">
      <c r="A269" s="497" t="s">
        <v>1931</v>
      </c>
      <c r="B269" s="500" t="s">
        <v>1866</v>
      </c>
      <c r="C269" s="126" t="s">
        <v>622</v>
      </c>
      <c r="D269" s="210"/>
      <c r="E269" s="131"/>
      <c r="F269" s="211"/>
      <c r="G269" s="123"/>
      <c r="H269" s="203">
        <v>0</v>
      </c>
      <c r="I269" s="123">
        <v>0</v>
      </c>
      <c r="J269" s="204">
        <v>0</v>
      </c>
    </row>
    <row r="270" spans="1:10" ht="20.25" customHeight="1" x14ac:dyDescent="0.35">
      <c r="A270" s="497" t="s">
        <v>1931</v>
      </c>
      <c r="B270" s="500" t="s">
        <v>1867</v>
      </c>
      <c r="C270" s="126" t="s">
        <v>642</v>
      </c>
      <c r="D270" s="210" t="s">
        <v>1840</v>
      </c>
      <c r="E270" s="131" t="s">
        <v>1840</v>
      </c>
      <c r="F270" s="211"/>
      <c r="G270" s="123"/>
      <c r="H270" s="203">
        <v>1</v>
      </c>
      <c r="I270" s="123">
        <v>1</v>
      </c>
      <c r="J270" s="204">
        <v>0</v>
      </c>
    </row>
    <row r="271" spans="1:10" ht="20.25" customHeight="1" x14ac:dyDescent="0.35">
      <c r="A271" s="497" t="s">
        <v>1931</v>
      </c>
      <c r="B271" s="500" t="s">
        <v>1869</v>
      </c>
      <c r="C271" s="126" t="s">
        <v>662</v>
      </c>
      <c r="D271" s="210" t="s">
        <v>1830</v>
      </c>
      <c r="E271" s="504" t="s">
        <v>1831</v>
      </c>
      <c r="F271" s="211"/>
      <c r="G271" s="198"/>
      <c r="H271" s="203">
        <v>2</v>
      </c>
      <c r="I271" s="123">
        <v>1</v>
      </c>
      <c r="J271" s="204">
        <v>0</v>
      </c>
    </row>
    <row r="272" spans="1:10" ht="20.25" customHeight="1" x14ac:dyDescent="0.35">
      <c r="A272" s="497" t="s">
        <v>1931</v>
      </c>
      <c r="B272" s="500" t="s">
        <v>1870</v>
      </c>
      <c r="C272" s="126" t="s">
        <v>682</v>
      </c>
      <c r="D272" s="210" t="s">
        <v>1830</v>
      </c>
      <c r="E272" s="131" t="s">
        <v>1830</v>
      </c>
      <c r="F272" s="211" t="s">
        <v>1855</v>
      </c>
      <c r="G272" s="123"/>
      <c r="H272" s="203">
        <v>2</v>
      </c>
      <c r="I272" s="123">
        <v>2</v>
      </c>
      <c r="J272" s="204">
        <v>4</v>
      </c>
    </row>
    <row r="273" spans="1:10" ht="20.25" customHeight="1" x14ac:dyDescent="0.35">
      <c r="A273" s="497" t="s">
        <v>1931</v>
      </c>
      <c r="B273" s="500" t="s">
        <v>1871</v>
      </c>
      <c r="C273" s="126" t="s">
        <v>702</v>
      </c>
      <c r="D273" s="210"/>
      <c r="E273" s="131"/>
      <c r="F273" s="211"/>
      <c r="G273" s="123"/>
      <c r="H273" s="203">
        <v>0</v>
      </c>
      <c r="I273" s="123">
        <v>0</v>
      </c>
      <c r="J273" s="204">
        <v>0</v>
      </c>
    </row>
    <row r="274" spans="1:10" ht="20.25" customHeight="1" x14ac:dyDescent="0.35">
      <c r="A274" s="497" t="s">
        <v>1931</v>
      </c>
      <c r="B274" s="500" t="s">
        <v>1872</v>
      </c>
      <c r="C274" s="126" t="s">
        <v>722</v>
      </c>
      <c r="D274" s="506" t="s">
        <v>1856</v>
      </c>
      <c r="E274" s="507" t="s">
        <v>1856</v>
      </c>
      <c r="F274" s="505" t="s">
        <v>1856</v>
      </c>
      <c r="G274" s="123"/>
      <c r="H274" s="203">
        <v>4</v>
      </c>
      <c r="I274" s="123">
        <v>4</v>
      </c>
      <c r="J274" s="204">
        <v>4</v>
      </c>
    </row>
    <row r="275" spans="1:10" ht="20.25" customHeight="1" x14ac:dyDescent="0.35">
      <c r="A275" s="497" t="s">
        <v>1931</v>
      </c>
      <c r="B275" s="500" t="s">
        <v>1873</v>
      </c>
      <c r="C275" s="126" t="s">
        <v>584</v>
      </c>
      <c r="D275" s="210"/>
      <c r="E275" s="131"/>
      <c r="F275" s="211"/>
      <c r="G275" s="123"/>
      <c r="H275" s="203">
        <v>0</v>
      </c>
      <c r="I275" s="123">
        <v>0</v>
      </c>
      <c r="J275" s="204">
        <v>0</v>
      </c>
    </row>
    <row r="276" spans="1:10" ht="20.25" customHeight="1" x14ac:dyDescent="0.35">
      <c r="A276" s="497" t="s">
        <v>1931</v>
      </c>
      <c r="B276" s="500" t="s">
        <v>1874</v>
      </c>
      <c r="C276" s="126" t="s">
        <v>604</v>
      </c>
      <c r="D276" s="210"/>
      <c r="E276" s="131"/>
      <c r="F276" s="211"/>
      <c r="G276" s="123"/>
      <c r="H276" s="203">
        <v>0</v>
      </c>
      <c r="I276" s="123">
        <v>0</v>
      </c>
      <c r="J276" s="204">
        <v>0</v>
      </c>
    </row>
    <row r="277" spans="1:10" ht="20.25" customHeight="1" x14ac:dyDescent="0.35">
      <c r="A277" s="497" t="s">
        <v>1931</v>
      </c>
      <c r="B277" s="500" t="s">
        <v>1876</v>
      </c>
      <c r="C277" s="126" t="s">
        <v>624</v>
      </c>
      <c r="D277" s="210"/>
      <c r="E277" s="131"/>
      <c r="F277" s="211"/>
      <c r="G277" s="123"/>
      <c r="H277" s="203">
        <v>0</v>
      </c>
      <c r="I277" s="123">
        <v>0</v>
      </c>
      <c r="J277" s="204">
        <v>0</v>
      </c>
    </row>
    <row r="278" spans="1:10" ht="20.25" customHeight="1" x14ac:dyDescent="0.35">
      <c r="A278" s="497" t="s">
        <v>1931</v>
      </c>
      <c r="B278" s="500" t="s">
        <v>1879</v>
      </c>
      <c r="C278" s="126" t="s">
        <v>644</v>
      </c>
      <c r="D278" s="210"/>
      <c r="E278" s="504"/>
      <c r="F278" s="211"/>
      <c r="G278" s="198"/>
      <c r="H278" s="203">
        <v>0</v>
      </c>
      <c r="I278" s="123">
        <v>0</v>
      </c>
      <c r="J278" s="204">
        <v>0</v>
      </c>
    </row>
    <row r="279" spans="1:10" ht="20.25" customHeight="1" x14ac:dyDescent="0.35">
      <c r="A279" s="497" t="s">
        <v>1931</v>
      </c>
      <c r="B279" s="500" t="s">
        <v>1880</v>
      </c>
      <c r="C279" s="126" t="s">
        <v>664</v>
      </c>
      <c r="D279" s="210"/>
      <c r="E279" s="131"/>
      <c r="F279" s="211"/>
      <c r="G279" s="123"/>
      <c r="H279" s="203">
        <v>0</v>
      </c>
      <c r="I279" s="123">
        <v>0</v>
      </c>
      <c r="J279" s="204">
        <v>0</v>
      </c>
    </row>
    <row r="280" spans="1:10" ht="20.25" customHeight="1" x14ac:dyDescent="0.35">
      <c r="A280" s="497" t="s">
        <v>1931</v>
      </c>
      <c r="B280" s="500" t="s">
        <v>1881</v>
      </c>
      <c r="C280" s="126" t="s">
        <v>684</v>
      </c>
      <c r="D280" s="210" t="s">
        <v>1877</v>
      </c>
      <c r="E280" s="131" t="s">
        <v>1855</v>
      </c>
      <c r="F280" s="211" t="s">
        <v>1855</v>
      </c>
      <c r="G280" s="123"/>
      <c r="H280" s="203">
        <v>2</v>
      </c>
      <c r="I280" s="123">
        <v>4</v>
      </c>
      <c r="J280" s="204">
        <v>4</v>
      </c>
    </row>
    <row r="281" spans="1:10" ht="20.25" customHeight="1" x14ac:dyDescent="0.35">
      <c r="A281" s="497" t="s">
        <v>1931</v>
      </c>
      <c r="B281" s="500" t="s">
        <v>1882</v>
      </c>
      <c r="C281" s="126" t="s">
        <v>704</v>
      </c>
      <c r="D281" s="210" t="s">
        <v>1831</v>
      </c>
      <c r="E281" s="507" t="s">
        <v>1856</v>
      </c>
      <c r="F281" s="505" t="s">
        <v>1856</v>
      </c>
      <c r="G281" s="123"/>
      <c r="H281" s="203">
        <v>1</v>
      </c>
      <c r="I281" s="123">
        <v>1</v>
      </c>
      <c r="J281" s="204">
        <v>4</v>
      </c>
    </row>
    <row r="282" spans="1:10" ht="20.25" customHeight="1" x14ac:dyDescent="0.35">
      <c r="A282" s="497" t="s">
        <v>1931</v>
      </c>
      <c r="B282" s="500" t="s">
        <v>1883</v>
      </c>
      <c r="C282" s="126" t="s">
        <v>724</v>
      </c>
      <c r="D282" s="210"/>
      <c r="E282" s="504"/>
      <c r="F282" s="211"/>
      <c r="G282" s="198"/>
      <c r="H282" s="203">
        <v>0</v>
      </c>
      <c r="I282" s="123">
        <v>0</v>
      </c>
      <c r="J282" s="204">
        <v>0</v>
      </c>
    </row>
    <row r="283" spans="1:10" ht="20.25" customHeight="1" x14ac:dyDescent="0.35">
      <c r="A283" s="497" t="s">
        <v>1931</v>
      </c>
      <c r="B283" s="500" t="s">
        <v>1884</v>
      </c>
      <c r="C283" s="126" t="s">
        <v>586</v>
      </c>
      <c r="D283" s="210"/>
      <c r="E283" s="131"/>
      <c r="F283" s="211"/>
      <c r="G283" s="123"/>
      <c r="H283" s="203">
        <v>0</v>
      </c>
      <c r="I283" s="123">
        <v>0</v>
      </c>
      <c r="J283" s="204">
        <v>0</v>
      </c>
    </row>
    <row r="284" spans="1:10" ht="20.25" customHeight="1" x14ac:dyDescent="0.35">
      <c r="A284" s="497" t="s">
        <v>1931</v>
      </c>
      <c r="B284" s="500" t="s">
        <v>1885</v>
      </c>
      <c r="C284" s="126" t="s">
        <v>606</v>
      </c>
      <c r="D284" s="210"/>
      <c r="E284" s="131" t="s">
        <v>1836</v>
      </c>
      <c r="F284" s="211" t="s">
        <v>1933</v>
      </c>
      <c r="G284" s="123"/>
      <c r="H284" s="203">
        <v>0</v>
      </c>
      <c r="I284" s="123">
        <v>2</v>
      </c>
      <c r="J284" s="204">
        <v>4</v>
      </c>
    </row>
    <row r="285" spans="1:10" ht="20.25" customHeight="1" x14ac:dyDescent="0.35">
      <c r="A285" s="497" t="s">
        <v>1931</v>
      </c>
      <c r="B285" s="500" t="s">
        <v>1886</v>
      </c>
      <c r="C285" s="126" t="s">
        <v>626</v>
      </c>
      <c r="D285" s="210" t="s">
        <v>1877</v>
      </c>
      <c r="E285" s="131" t="s">
        <v>1919</v>
      </c>
      <c r="F285" s="211" t="s">
        <v>1919</v>
      </c>
      <c r="G285" s="123"/>
      <c r="H285" s="203">
        <v>2</v>
      </c>
      <c r="I285" s="123">
        <v>3</v>
      </c>
      <c r="J285" s="204">
        <v>3</v>
      </c>
    </row>
    <row r="286" spans="1:10" ht="20.25" customHeight="1" x14ac:dyDescent="0.35">
      <c r="A286" s="497" t="s">
        <v>1931</v>
      </c>
      <c r="B286" s="500" t="s">
        <v>1887</v>
      </c>
      <c r="C286" s="126" t="s">
        <v>646</v>
      </c>
      <c r="D286" s="210"/>
      <c r="E286" s="131"/>
      <c r="F286" s="211"/>
      <c r="G286" s="123"/>
      <c r="H286" s="203">
        <v>0</v>
      </c>
      <c r="I286" s="123">
        <v>0</v>
      </c>
      <c r="J286" s="204">
        <v>0</v>
      </c>
    </row>
    <row r="287" spans="1:10" ht="20.25" customHeight="1" x14ac:dyDescent="0.35">
      <c r="A287" s="497" t="s">
        <v>1931</v>
      </c>
      <c r="B287" s="500" t="s">
        <v>1888</v>
      </c>
      <c r="C287" s="126" t="s">
        <v>666</v>
      </c>
      <c r="D287" s="210" t="s">
        <v>1831</v>
      </c>
      <c r="E287" s="131" t="s">
        <v>1855</v>
      </c>
      <c r="F287" s="211" t="s">
        <v>1920</v>
      </c>
      <c r="G287" s="123"/>
      <c r="H287" s="203">
        <v>1</v>
      </c>
      <c r="I287" s="123">
        <v>4</v>
      </c>
      <c r="J287" s="204">
        <v>4</v>
      </c>
    </row>
    <row r="288" spans="1:10" ht="20.25" customHeight="1" x14ac:dyDescent="0.35">
      <c r="A288" s="497" t="s">
        <v>1931</v>
      </c>
      <c r="B288" s="500" t="s">
        <v>1889</v>
      </c>
      <c r="C288" s="126" t="s">
        <v>686</v>
      </c>
      <c r="D288" s="210"/>
      <c r="E288" s="131"/>
      <c r="F288" s="211"/>
      <c r="G288" s="123"/>
      <c r="H288" s="203">
        <v>0</v>
      </c>
      <c r="I288" s="123">
        <v>0</v>
      </c>
      <c r="J288" s="204">
        <v>0</v>
      </c>
    </row>
    <row r="289" spans="1:10" ht="20.25" customHeight="1" x14ac:dyDescent="0.35">
      <c r="A289" s="497" t="s">
        <v>1931</v>
      </c>
      <c r="B289" s="500" t="s">
        <v>1890</v>
      </c>
      <c r="C289" s="126" t="s">
        <v>706</v>
      </c>
      <c r="D289" s="210" t="s">
        <v>1831</v>
      </c>
      <c r="E289" s="131"/>
      <c r="F289" s="211"/>
      <c r="G289" s="123"/>
      <c r="H289" s="203">
        <v>1</v>
      </c>
      <c r="I289" s="123">
        <v>0</v>
      </c>
      <c r="J289" s="204">
        <v>0</v>
      </c>
    </row>
    <row r="290" spans="1:10" ht="20.25" customHeight="1" x14ac:dyDescent="0.35">
      <c r="A290" s="497" t="s">
        <v>1931</v>
      </c>
      <c r="B290" s="500" t="s">
        <v>1891</v>
      </c>
      <c r="C290" s="126" t="s">
        <v>726</v>
      </c>
      <c r="D290" s="210" t="s">
        <v>1831</v>
      </c>
      <c r="E290" s="131" t="s">
        <v>1830</v>
      </c>
      <c r="F290" s="211" t="s">
        <v>1914</v>
      </c>
      <c r="G290" s="123"/>
      <c r="H290" s="203">
        <v>1</v>
      </c>
      <c r="I290" s="123">
        <v>2</v>
      </c>
      <c r="J290" s="204">
        <v>3</v>
      </c>
    </row>
    <row r="291" spans="1:10" ht="20.25" customHeight="1" x14ac:dyDescent="0.35">
      <c r="A291" s="497" t="s">
        <v>1931</v>
      </c>
      <c r="B291" s="500" t="s">
        <v>1892</v>
      </c>
      <c r="C291" s="126" t="s">
        <v>588</v>
      </c>
      <c r="D291" s="210"/>
      <c r="E291" s="131"/>
      <c r="F291" s="211" t="s">
        <v>1836</v>
      </c>
      <c r="G291" s="123"/>
      <c r="H291" s="203">
        <v>0</v>
      </c>
      <c r="I291" s="123">
        <v>0</v>
      </c>
      <c r="J291" s="204">
        <v>2</v>
      </c>
    </row>
    <row r="292" spans="1:10" ht="20.25" customHeight="1" x14ac:dyDescent="0.35">
      <c r="A292" s="497" t="s">
        <v>1931</v>
      </c>
      <c r="B292" s="500" t="s">
        <v>1893</v>
      </c>
      <c r="C292" s="126" t="s">
        <v>608</v>
      </c>
      <c r="D292" s="210" t="s">
        <v>1840</v>
      </c>
      <c r="E292" s="131"/>
      <c r="F292" s="211"/>
      <c r="G292" s="123"/>
      <c r="H292" s="203">
        <v>1</v>
      </c>
      <c r="I292" s="123">
        <v>0</v>
      </c>
      <c r="J292" s="204">
        <v>0</v>
      </c>
    </row>
    <row r="293" spans="1:10" ht="20.25" customHeight="1" x14ac:dyDescent="0.35">
      <c r="A293" s="497" t="s">
        <v>1931</v>
      </c>
      <c r="B293" s="500" t="s">
        <v>1894</v>
      </c>
      <c r="C293" s="126" t="s">
        <v>628</v>
      </c>
      <c r="D293" s="210"/>
      <c r="E293" s="131"/>
      <c r="F293" s="211"/>
      <c r="G293" s="123"/>
      <c r="H293" s="203">
        <v>0</v>
      </c>
      <c r="I293" s="123">
        <v>0</v>
      </c>
      <c r="J293" s="204">
        <v>0</v>
      </c>
    </row>
    <row r="294" spans="1:10" ht="20.25" customHeight="1" x14ac:dyDescent="0.35">
      <c r="A294" s="497" t="s">
        <v>1931</v>
      </c>
      <c r="B294" s="500" t="s">
        <v>1895</v>
      </c>
      <c r="C294" s="126" t="s">
        <v>648</v>
      </c>
      <c r="D294" s="210" t="s">
        <v>1831</v>
      </c>
      <c r="E294" s="131"/>
      <c r="F294" s="211"/>
      <c r="G294" s="123"/>
      <c r="H294" s="203">
        <v>1</v>
      </c>
      <c r="I294" s="123">
        <v>0</v>
      </c>
      <c r="J294" s="204">
        <v>0</v>
      </c>
    </row>
    <row r="295" spans="1:10" ht="20.25" customHeight="1" x14ac:dyDescent="0.35">
      <c r="A295" s="497" t="s">
        <v>1931</v>
      </c>
      <c r="B295" s="500" t="s">
        <v>1896</v>
      </c>
      <c r="C295" s="126" t="s">
        <v>668</v>
      </c>
      <c r="D295" s="210"/>
      <c r="E295" s="131"/>
      <c r="F295" s="211"/>
      <c r="G295" s="123"/>
      <c r="H295" s="203">
        <v>0</v>
      </c>
      <c r="I295" s="123">
        <v>0</v>
      </c>
      <c r="J295" s="204">
        <v>0</v>
      </c>
    </row>
    <row r="296" spans="1:10" ht="20.25" customHeight="1" x14ac:dyDescent="0.35">
      <c r="A296" s="497" t="s">
        <v>1931</v>
      </c>
      <c r="B296" s="500" t="s">
        <v>1897</v>
      </c>
      <c r="C296" s="126" t="s">
        <v>688</v>
      </c>
      <c r="D296" s="210"/>
      <c r="E296" s="131"/>
      <c r="F296" s="211"/>
      <c r="G296" s="123"/>
      <c r="H296" s="203">
        <v>0</v>
      </c>
      <c r="I296" s="123">
        <v>0</v>
      </c>
      <c r="J296" s="204">
        <v>0</v>
      </c>
    </row>
    <row r="297" spans="1:10" ht="20.25" customHeight="1" x14ac:dyDescent="0.35">
      <c r="A297" s="497" t="s">
        <v>1931</v>
      </c>
      <c r="B297" s="500" t="s">
        <v>1898</v>
      </c>
      <c r="C297" s="126" t="s">
        <v>708</v>
      </c>
      <c r="D297" s="210"/>
      <c r="E297" s="131" t="s">
        <v>1930</v>
      </c>
      <c r="F297" s="211" t="s">
        <v>1855</v>
      </c>
      <c r="G297" s="123"/>
      <c r="H297" s="203">
        <v>0</v>
      </c>
      <c r="I297" s="123">
        <v>4</v>
      </c>
      <c r="J297" s="204">
        <v>4</v>
      </c>
    </row>
    <row r="298" spans="1:10" ht="20.25" customHeight="1" x14ac:dyDescent="0.35">
      <c r="A298" s="497" t="s">
        <v>1931</v>
      </c>
      <c r="B298" s="500" t="s">
        <v>1899</v>
      </c>
      <c r="C298" s="126" t="s">
        <v>728</v>
      </c>
      <c r="D298" s="210"/>
      <c r="E298" s="131"/>
      <c r="F298" s="211"/>
      <c r="G298" s="123"/>
      <c r="H298" s="203">
        <v>0</v>
      </c>
      <c r="I298" s="123">
        <v>0</v>
      </c>
      <c r="J298" s="204">
        <v>0</v>
      </c>
    </row>
    <row r="299" spans="1:10" ht="20.25" customHeight="1" x14ac:dyDescent="0.35">
      <c r="A299" s="497" t="s">
        <v>1931</v>
      </c>
      <c r="B299" s="500" t="s">
        <v>1900</v>
      </c>
      <c r="C299" s="126" t="s">
        <v>590</v>
      </c>
      <c r="D299" s="210"/>
      <c r="E299" s="131"/>
      <c r="F299" s="211"/>
      <c r="G299" s="123"/>
      <c r="H299" s="203">
        <v>0</v>
      </c>
      <c r="I299" s="123">
        <v>0</v>
      </c>
      <c r="J299" s="204">
        <v>0</v>
      </c>
    </row>
    <row r="300" spans="1:10" ht="20.25" customHeight="1" x14ac:dyDescent="0.35">
      <c r="A300" s="497" t="s">
        <v>1931</v>
      </c>
      <c r="B300" s="500" t="s">
        <v>1902</v>
      </c>
      <c r="C300" s="126" t="s">
        <v>610</v>
      </c>
      <c r="D300" s="210"/>
      <c r="E300" s="131"/>
      <c r="F300" s="211"/>
      <c r="G300" s="123"/>
      <c r="H300" s="203">
        <v>0</v>
      </c>
      <c r="I300" s="123">
        <v>0</v>
      </c>
      <c r="J300" s="204">
        <v>0</v>
      </c>
    </row>
    <row r="301" spans="1:10" ht="20.25" customHeight="1" x14ac:dyDescent="0.35">
      <c r="A301" s="497" t="s">
        <v>1931</v>
      </c>
      <c r="B301" s="500" t="s">
        <v>1904</v>
      </c>
      <c r="C301" s="126" t="s">
        <v>630</v>
      </c>
      <c r="D301" s="210"/>
      <c r="E301" s="131"/>
      <c r="F301" s="211"/>
      <c r="G301" s="123"/>
      <c r="H301" s="203">
        <v>0</v>
      </c>
      <c r="I301" s="123">
        <v>0</v>
      </c>
      <c r="J301" s="204">
        <v>0</v>
      </c>
    </row>
    <row r="302" spans="1:10" ht="20.25" customHeight="1" x14ac:dyDescent="0.35">
      <c r="A302" s="497" t="s">
        <v>1931</v>
      </c>
      <c r="B302" s="500" t="s">
        <v>1905</v>
      </c>
      <c r="C302" s="126" t="s">
        <v>650</v>
      </c>
      <c r="D302" s="210"/>
      <c r="E302" s="504"/>
      <c r="F302" s="211" t="s">
        <v>903</v>
      </c>
      <c r="G302" s="198"/>
      <c r="H302" s="203">
        <v>0</v>
      </c>
      <c r="I302" s="123">
        <v>0</v>
      </c>
      <c r="J302" s="204">
        <v>1</v>
      </c>
    </row>
    <row r="303" spans="1:10" ht="20.25" customHeight="1" x14ac:dyDescent="0.35">
      <c r="A303" s="497" t="s">
        <v>1931</v>
      </c>
      <c r="B303" s="500" t="s">
        <v>1906</v>
      </c>
      <c r="C303" s="126" t="s">
        <v>670</v>
      </c>
      <c r="D303" s="210"/>
      <c r="E303" s="131"/>
      <c r="F303" s="211"/>
      <c r="G303" s="123"/>
      <c r="H303" s="203">
        <v>0</v>
      </c>
      <c r="I303" s="123">
        <v>0</v>
      </c>
      <c r="J303" s="204">
        <v>0</v>
      </c>
    </row>
    <row r="304" spans="1:10" ht="20.25" customHeight="1" x14ac:dyDescent="0.35">
      <c r="A304" s="497" t="s">
        <v>1931</v>
      </c>
      <c r="B304" s="500" t="s">
        <v>1908</v>
      </c>
      <c r="C304" s="126" t="s">
        <v>690</v>
      </c>
      <c r="D304" s="210"/>
      <c r="E304" s="131"/>
      <c r="F304" s="211"/>
      <c r="G304" s="123"/>
      <c r="H304" s="203">
        <v>0</v>
      </c>
      <c r="I304" s="123">
        <v>0</v>
      </c>
      <c r="J304" s="204">
        <v>0</v>
      </c>
    </row>
    <row r="305" spans="1:10" ht="20.25" customHeight="1" x14ac:dyDescent="0.35">
      <c r="A305" s="497" t="s">
        <v>1931</v>
      </c>
      <c r="B305" s="500" t="s">
        <v>1910</v>
      </c>
      <c r="C305" s="126" t="s">
        <v>710</v>
      </c>
      <c r="D305" s="210"/>
      <c r="E305" s="131" t="s">
        <v>1934</v>
      </c>
      <c r="F305" s="211" t="s">
        <v>1855</v>
      </c>
      <c r="G305" s="123"/>
      <c r="H305" s="203">
        <v>0</v>
      </c>
      <c r="I305" s="123">
        <v>4</v>
      </c>
      <c r="J305" s="204">
        <v>4</v>
      </c>
    </row>
    <row r="306" spans="1:10" ht="20.25" customHeight="1" x14ac:dyDescent="0.35">
      <c r="A306" s="497" t="s">
        <v>1931</v>
      </c>
      <c r="B306" s="500" t="s">
        <v>1911</v>
      </c>
      <c r="C306" s="126" t="s">
        <v>730</v>
      </c>
      <c r="D306" s="210"/>
      <c r="E306" s="504"/>
      <c r="F306" s="211"/>
      <c r="G306" s="198"/>
      <c r="H306" s="203">
        <v>0</v>
      </c>
      <c r="I306" s="123">
        <v>0</v>
      </c>
      <c r="J306" s="204">
        <v>0</v>
      </c>
    </row>
    <row r="307" spans="1:10" ht="20.25" customHeight="1" x14ac:dyDescent="0.35">
      <c r="A307" s="497" t="s">
        <v>1931</v>
      </c>
      <c r="B307" s="500" t="s">
        <v>35</v>
      </c>
      <c r="C307" s="126" t="s">
        <v>592</v>
      </c>
      <c r="D307" s="210" t="s">
        <v>1830</v>
      </c>
      <c r="E307" s="131" t="s">
        <v>1830</v>
      </c>
      <c r="F307" s="211" t="s">
        <v>1830</v>
      </c>
      <c r="G307" s="198"/>
      <c r="H307" s="203">
        <v>2</v>
      </c>
      <c r="I307" s="123">
        <v>2</v>
      </c>
      <c r="J307" s="204">
        <v>2</v>
      </c>
    </row>
    <row r="308" spans="1:10" ht="20.25" customHeight="1" x14ac:dyDescent="0.35">
      <c r="A308" s="497" t="s">
        <v>1931</v>
      </c>
      <c r="B308" s="500" t="s">
        <v>65</v>
      </c>
      <c r="C308" s="126" t="s">
        <v>612</v>
      </c>
      <c r="D308" s="210"/>
      <c r="E308" s="131"/>
      <c r="F308" s="211"/>
      <c r="G308" s="123"/>
      <c r="H308" s="203">
        <v>0</v>
      </c>
      <c r="I308" s="123">
        <v>0</v>
      </c>
      <c r="J308" s="204">
        <v>0</v>
      </c>
    </row>
    <row r="309" spans="1:10" ht="20.25" customHeight="1" x14ac:dyDescent="0.35">
      <c r="A309" s="497" t="s">
        <v>1931</v>
      </c>
      <c r="B309" s="500" t="s">
        <v>95</v>
      </c>
      <c r="C309" s="126" t="s">
        <v>632</v>
      </c>
      <c r="D309" s="210" t="s">
        <v>1831</v>
      </c>
      <c r="E309" s="131" t="s">
        <v>1836</v>
      </c>
      <c r="F309" s="211" t="s">
        <v>1920</v>
      </c>
      <c r="G309" s="123"/>
      <c r="H309" s="203">
        <v>1</v>
      </c>
      <c r="I309" s="123">
        <v>2</v>
      </c>
      <c r="J309" s="204">
        <v>4</v>
      </c>
    </row>
    <row r="310" spans="1:10" ht="20.25" customHeight="1" x14ac:dyDescent="0.35">
      <c r="A310" s="497" t="s">
        <v>1931</v>
      </c>
      <c r="B310" s="500" t="s">
        <v>125</v>
      </c>
      <c r="C310" s="126" t="s">
        <v>652</v>
      </c>
      <c r="D310" s="210"/>
      <c r="E310" s="131"/>
      <c r="F310" s="211"/>
      <c r="G310" s="123"/>
      <c r="H310" s="203">
        <v>0</v>
      </c>
      <c r="I310" s="123">
        <v>0</v>
      </c>
      <c r="J310" s="204">
        <v>0</v>
      </c>
    </row>
    <row r="311" spans="1:10" ht="20.25" customHeight="1" x14ac:dyDescent="0.35">
      <c r="A311" s="497" t="s">
        <v>1931</v>
      </c>
      <c r="B311" s="500" t="s">
        <v>155</v>
      </c>
      <c r="C311" s="126" t="s">
        <v>672</v>
      </c>
      <c r="D311" s="210"/>
      <c r="E311" s="131"/>
      <c r="F311" s="211"/>
      <c r="G311" s="123"/>
      <c r="H311" s="203">
        <v>0</v>
      </c>
      <c r="I311" s="123">
        <v>0</v>
      </c>
      <c r="J311" s="204">
        <v>0</v>
      </c>
    </row>
    <row r="312" spans="1:10" ht="20.25" customHeight="1" x14ac:dyDescent="0.35">
      <c r="A312" s="497" t="s">
        <v>1931</v>
      </c>
      <c r="B312" s="500" t="s">
        <v>185</v>
      </c>
      <c r="C312" s="126" t="s">
        <v>692</v>
      </c>
      <c r="D312" s="210" t="s">
        <v>1840</v>
      </c>
      <c r="E312" s="131"/>
      <c r="F312" s="211"/>
      <c r="G312" s="123"/>
      <c r="H312" s="203">
        <v>1</v>
      </c>
      <c r="I312" s="123">
        <v>0</v>
      </c>
      <c r="J312" s="204">
        <v>0</v>
      </c>
    </row>
    <row r="313" spans="1:10" ht="20.25" customHeight="1" x14ac:dyDescent="0.35">
      <c r="A313" s="497" t="s">
        <v>1931</v>
      </c>
      <c r="B313" s="500" t="s">
        <v>215</v>
      </c>
      <c r="C313" s="126" t="s">
        <v>712</v>
      </c>
      <c r="D313" s="210"/>
      <c r="E313" s="131"/>
      <c r="F313" s="211"/>
      <c r="G313" s="123"/>
      <c r="H313" s="203">
        <v>0</v>
      </c>
      <c r="I313" s="123">
        <v>0</v>
      </c>
      <c r="J313" s="204">
        <v>0</v>
      </c>
    </row>
    <row r="314" spans="1:10" ht="20.25" customHeight="1" x14ac:dyDescent="0.35">
      <c r="A314" s="497" t="s">
        <v>1931</v>
      </c>
      <c r="B314" s="500" t="s">
        <v>245</v>
      </c>
      <c r="C314" s="126" t="s">
        <v>732</v>
      </c>
      <c r="D314" s="508"/>
      <c r="E314" s="504"/>
      <c r="F314" s="509"/>
      <c r="G314" s="128"/>
      <c r="H314" s="203">
        <v>0</v>
      </c>
      <c r="I314" s="128">
        <v>0</v>
      </c>
      <c r="J314" s="204">
        <v>0</v>
      </c>
    </row>
    <row r="315" spans="1:10" ht="20.25" customHeight="1" x14ac:dyDescent="0.35">
      <c r="A315" s="497" t="s">
        <v>1931</v>
      </c>
      <c r="B315" s="500" t="s">
        <v>38</v>
      </c>
      <c r="C315" s="126" t="s">
        <v>594</v>
      </c>
      <c r="D315" s="210"/>
      <c r="E315" s="131"/>
      <c r="F315" s="211"/>
      <c r="G315" s="123"/>
      <c r="H315" s="203">
        <v>0</v>
      </c>
      <c r="I315" s="123">
        <v>0</v>
      </c>
      <c r="J315" s="204">
        <v>0</v>
      </c>
    </row>
    <row r="316" spans="1:10" ht="20.25" customHeight="1" x14ac:dyDescent="0.35">
      <c r="A316" s="497" t="s">
        <v>1931</v>
      </c>
      <c r="B316" s="500" t="s">
        <v>68</v>
      </c>
      <c r="C316" s="126" t="s">
        <v>614</v>
      </c>
      <c r="D316" s="210" t="s">
        <v>1840</v>
      </c>
      <c r="E316" s="131" t="s">
        <v>1840</v>
      </c>
      <c r="F316" s="211"/>
      <c r="G316" s="123"/>
      <c r="H316" s="203">
        <v>1</v>
      </c>
      <c r="I316" s="123">
        <v>1</v>
      </c>
      <c r="J316" s="204">
        <v>0</v>
      </c>
    </row>
    <row r="317" spans="1:10" ht="20.25" customHeight="1" x14ac:dyDescent="0.35">
      <c r="A317" s="497" t="s">
        <v>1931</v>
      </c>
      <c r="B317" s="500" t="s">
        <v>98</v>
      </c>
      <c r="C317" s="126" t="s">
        <v>634</v>
      </c>
      <c r="D317" s="210"/>
      <c r="E317" s="131"/>
      <c r="F317" s="211"/>
      <c r="G317" s="123"/>
      <c r="H317" s="203">
        <v>0</v>
      </c>
      <c r="I317" s="123">
        <v>0</v>
      </c>
      <c r="J317" s="204">
        <v>0</v>
      </c>
    </row>
    <row r="318" spans="1:10" ht="20.25" customHeight="1" x14ac:dyDescent="0.35">
      <c r="A318" s="497" t="s">
        <v>1931</v>
      </c>
      <c r="B318" s="500" t="s">
        <v>128</v>
      </c>
      <c r="C318" s="126" t="s">
        <v>654</v>
      </c>
      <c r="D318" s="210" t="s">
        <v>1877</v>
      </c>
      <c r="E318" s="131" t="s">
        <v>1855</v>
      </c>
      <c r="F318" s="211" t="s">
        <v>1855</v>
      </c>
      <c r="G318" s="123"/>
      <c r="H318" s="203">
        <v>2</v>
      </c>
      <c r="I318" s="123">
        <v>4</v>
      </c>
      <c r="J318" s="204">
        <v>4</v>
      </c>
    </row>
    <row r="319" spans="1:10" ht="20.25" customHeight="1" x14ac:dyDescent="0.35">
      <c r="A319" s="497" t="s">
        <v>1931</v>
      </c>
      <c r="B319" s="500" t="s">
        <v>158</v>
      </c>
      <c r="C319" s="126" t="s">
        <v>674</v>
      </c>
      <c r="D319" s="210"/>
      <c r="E319" s="131"/>
      <c r="F319" s="211"/>
      <c r="G319" s="123"/>
      <c r="H319" s="203">
        <v>0</v>
      </c>
      <c r="I319" s="123">
        <v>0</v>
      </c>
      <c r="J319" s="204">
        <v>0</v>
      </c>
    </row>
    <row r="320" spans="1:10" ht="20.25" customHeight="1" x14ac:dyDescent="0.35">
      <c r="A320" s="497" t="s">
        <v>1931</v>
      </c>
      <c r="B320" s="500" t="s">
        <v>188</v>
      </c>
      <c r="C320" s="126" t="s">
        <v>694</v>
      </c>
      <c r="D320" s="210"/>
      <c r="E320" s="131"/>
      <c r="F320" s="211"/>
      <c r="G320" s="123"/>
      <c r="H320" s="203">
        <v>0</v>
      </c>
      <c r="I320" s="123">
        <v>0</v>
      </c>
      <c r="J320" s="204">
        <v>0</v>
      </c>
    </row>
    <row r="321" spans="1:10" ht="20.25" customHeight="1" x14ac:dyDescent="0.35">
      <c r="A321" s="497" t="s">
        <v>1931</v>
      </c>
      <c r="B321" s="500" t="s">
        <v>218</v>
      </c>
      <c r="C321" s="126" t="s">
        <v>714</v>
      </c>
      <c r="D321" s="210" t="s">
        <v>1877</v>
      </c>
      <c r="E321" s="131"/>
      <c r="F321" s="211" t="s">
        <v>1855</v>
      </c>
      <c r="G321" s="123"/>
      <c r="H321" s="203">
        <v>2</v>
      </c>
      <c r="I321" s="123">
        <v>0</v>
      </c>
      <c r="J321" s="204">
        <v>4</v>
      </c>
    </row>
    <row r="322" spans="1:10" ht="20.25" customHeight="1" thickBot="1" x14ac:dyDescent="0.4">
      <c r="A322" s="497" t="s">
        <v>1931</v>
      </c>
      <c r="B322" s="510" t="s">
        <v>248</v>
      </c>
      <c r="C322" s="199" t="s">
        <v>734</v>
      </c>
      <c r="D322" s="210"/>
      <c r="E322" s="131"/>
      <c r="F322" s="211" t="s">
        <v>1831</v>
      </c>
      <c r="G322" s="123"/>
      <c r="H322" s="203">
        <v>0</v>
      </c>
      <c r="I322" s="123">
        <v>0</v>
      </c>
      <c r="J322" s="204">
        <v>1</v>
      </c>
    </row>
    <row r="323" spans="1:10" ht="20.25" customHeight="1" x14ac:dyDescent="0.35">
      <c r="A323" s="497" t="s">
        <v>1935</v>
      </c>
      <c r="B323" s="500" t="s">
        <v>1825</v>
      </c>
      <c r="C323" s="126" t="s">
        <v>737</v>
      </c>
      <c r="D323" s="210"/>
      <c r="E323" s="131"/>
      <c r="F323" s="211"/>
      <c r="G323" s="123"/>
      <c r="H323" s="203">
        <v>0</v>
      </c>
      <c r="I323" s="123">
        <v>0</v>
      </c>
      <c r="J323" s="204">
        <v>0</v>
      </c>
    </row>
    <row r="324" spans="1:10" ht="20.25" customHeight="1" x14ac:dyDescent="0.35">
      <c r="A324" s="497" t="s">
        <v>1935</v>
      </c>
      <c r="B324" s="500" t="s">
        <v>1826</v>
      </c>
      <c r="C324" s="126" t="s">
        <v>757</v>
      </c>
      <c r="D324" s="210" t="s">
        <v>1840</v>
      </c>
      <c r="E324" s="504"/>
      <c r="F324" s="211"/>
      <c r="G324" s="198"/>
      <c r="H324" s="203">
        <v>1</v>
      </c>
      <c r="I324" s="123">
        <v>0</v>
      </c>
      <c r="J324" s="204">
        <v>0</v>
      </c>
    </row>
    <row r="325" spans="1:10" ht="20.25" customHeight="1" x14ac:dyDescent="0.35">
      <c r="A325" s="497" t="s">
        <v>1935</v>
      </c>
      <c r="B325" s="500" t="s">
        <v>1827</v>
      </c>
      <c r="C325" s="126" t="s">
        <v>777</v>
      </c>
      <c r="D325" s="210" t="s">
        <v>1830</v>
      </c>
      <c r="E325" s="131" t="s">
        <v>1831</v>
      </c>
      <c r="F325" s="211"/>
      <c r="G325" s="198"/>
      <c r="H325" s="203">
        <v>2</v>
      </c>
      <c r="I325" s="123">
        <v>1</v>
      </c>
      <c r="J325" s="204">
        <v>0</v>
      </c>
    </row>
    <row r="326" spans="1:10" ht="20.25" customHeight="1" x14ac:dyDescent="0.35">
      <c r="A326" s="497" t="s">
        <v>1935</v>
      </c>
      <c r="B326" s="500" t="s">
        <v>1828</v>
      </c>
      <c r="C326" s="126" t="s">
        <v>797</v>
      </c>
      <c r="D326" s="210"/>
      <c r="E326" s="504"/>
      <c r="F326" s="211"/>
      <c r="G326" s="198"/>
      <c r="H326" s="203">
        <v>0</v>
      </c>
      <c r="I326" s="123">
        <v>0</v>
      </c>
      <c r="J326" s="204">
        <v>0</v>
      </c>
    </row>
    <row r="327" spans="1:10" ht="20.25" customHeight="1" x14ac:dyDescent="0.35">
      <c r="A327" s="497" t="s">
        <v>1935</v>
      </c>
      <c r="B327" s="500" t="s">
        <v>1829</v>
      </c>
      <c r="C327" s="126" t="s">
        <v>817</v>
      </c>
      <c r="D327" s="210"/>
      <c r="E327" s="131"/>
      <c r="F327" s="211"/>
      <c r="G327" s="123"/>
      <c r="H327" s="203">
        <v>0</v>
      </c>
      <c r="I327" s="123">
        <v>0</v>
      </c>
      <c r="J327" s="204">
        <v>0</v>
      </c>
    </row>
    <row r="328" spans="1:10" ht="20.25" customHeight="1" x14ac:dyDescent="0.35">
      <c r="A328" s="497" t="s">
        <v>1935</v>
      </c>
      <c r="B328" s="500" t="s">
        <v>1832</v>
      </c>
      <c r="C328" s="126" t="s">
        <v>837</v>
      </c>
      <c r="D328" s="210"/>
      <c r="E328" s="131" t="s">
        <v>1831</v>
      </c>
      <c r="F328" s="211" t="s">
        <v>1831</v>
      </c>
      <c r="G328" s="123"/>
      <c r="H328" s="203">
        <v>0</v>
      </c>
      <c r="I328" s="123">
        <v>1</v>
      </c>
      <c r="J328" s="204">
        <v>1</v>
      </c>
    </row>
    <row r="329" spans="1:10" ht="20.25" customHeight="1" x14ac:dyDescent="0.35">
      <c r="A329" s="497" t="s">
        <v>1935</v>
      </c>
      <c r="B329" s="500" t="s">
        <v>1833</v>
      </c>
      <c r="C329" s="126" t="s">
        <v>857</v>
      </c>
      <c r="D329" s="210"/>
      <c r="E329" s="131"/>
      <c r="F329" s="211"/>
      <c r="G329" s="123"/>
      <c r="H329" s="203">
        <v>0</v>
      </c>
      <c r="I329" s="123">
        <v>0</v>
      </c>
      <c r="J329" s="204">
        <v>0</v>
      </c>
    </row>
    <row r="330" spans="1:10" ht="20.25" customHeight="1" x14ac:dyDescent="0.35">
      <c r="A330" s="497" t="s">
        <v>1935</v>
      </c>
      <c r="B330" s="500" t="s">
        <v>1834</v>
      </c>
      <c r="C330" s="126" t="s">
        <v>877</v>
      </c>
      <c r="D330" s="210"/>
      <c r="E330" s="131"/>
      <c r="F330" s="211"/>
      <c r="G330" s="123"/>
      <c r="H330" s="203">
        <v>0</v>
      </c>
      <c r="I330" s="123">
        <v>0</v>
      </c>
      <c r="J330" s="204">
        <v>0</v>
      </c>
    </row>
    <row r="331" spans="1:10" ht="20.25" customHeight="1" x14ac:dyDescent="0.35">
      <c r="A331" s="497" t="s">
        <v>1935</v>
      </c>
      <c r="B331" s="500" t="s">
        <v>1835</v>
      </c>
      <c r="C331" s="126" t="s">
        <v>739</v>
      </c>
      <c r="D331" s="210"/>
      <c r="E331" s="131"/>
      <c r="F331" s="211"/>
      <c r="G331" s="123"/>
      <c r="H331" s="203">
        <v>0</v>
      </c>
      <c r="I331" s="123">
        <v>0</v>
      </c>
      <c r="J331" s="204">
        <v>0</v>
      </c>
    </row>
    <row r="332" spans="1:10" ht="20.25" customHeight="1" x14ac:dyDescent="0.35">
      <c r="A332" s="497" t="s">
        <v>1935</v>
      </c>
      <c r="B332" s="500" t="s">
        <v>1838</v>
      </c>
      <c r="C332" s="126" t="s">
        <v>759</v>
      </c>
      <c r="D332" s="210"/>
      <c r="E332" s="131"/>
      <c r="F332" s="211"/>
      <c r="G332" s="123"/>
      <c r="H332" s="203">
        <v>0</v>
      </c>
      <c r="I332" s="123">
        <v>0</v>
      </c>
      <c r="J332" s="204">
        <v>0</v>
      </c>
    </row>
    <row r="333" spans="1:10" ht="20.25" customHeight="1" x14ac:dyDescent="0.35">
      <c r="A333" s="497" t="s">
        <v>1935</v>
      </c>
      <c r="B333" s="500" t="s">
        <v>1839</v>
      </c>
      <c r="C333" s="126" t="s">
        <v>779</v>
      </c>
      <c r="D333" s="210" t="s">
        <v>1830</v>
      </c>
      <c r="E333" s="131" t="s">
        <v>1836</v>
      </c>
      <c r="F333" s="211" t="s">
        <v>1836</v>
      </c>
      <c r="G333" s="123"/>
      <c r="H333" s="203">
        <v>2</v>
      </c>
      <c r="I333" s="123">
        <v>2</v>
      </c>
      <c r="J333" s="204">
        <v>2</v>
      </c>
    </row>
    <row r="334" spans="1:10" ht="20.25" customHeight="1" x14ac:dyDescent="0.35">
      <c r="A334" s="497" t="s">
        <v>1935</v>
      </c>
      <c r="B334" s="500" t="s">
        <v>1841</v>
      </c>
      <c r="C334" s="126" t="s">
        <v>799</v>
      </c>
      <c r="D334" s="210"/>
      <c r="E334" s="131" t="s">
        <v>1836</v>
      </c>
      <c r="F334" s="211"/>
      <c r="G334" s="123"/>
      <c r="H334" s="203">
        <v>0</v>
      </c>
      <c r="I334" s="123">
        <v>2</v>
      </c>
      <c r="J334" s="204">
        <v>0</v>
      </c>
    </row>
    <row r="335" spans="1:10" ht="20.25" customHeight="1" x14ac:dyDescent="0.35">
      <c r="A335" s="497" t="s">
        <v>1935</v>
      </c>
      <c r="B335" s="500" t="s">
        <v>1842</v>
      </c>
      <c r="C335" s="126" t="s">
        <v>819</v>
      </c>
      <c r="D335" s="210"/>
      <c r="E335" s="131"/>
      <c r="F335" s="211"/>
      <c r="G335" s="123"/>
      <c r="H335" s="203">
        <v>0</v>
      </c>
      <c r="I335" s="123">
        <v>0</v>
      </c>
      <c r="J335" s="204">
        <v>0</v>
      </c>
    </row>
    <row r="336" spans="1:10" ht="20.25" customHeight="1" x14ac:dyDescent="0.35">
      <c r="A336" s="497" t="s">
        <v>1935</v>
      </c>
      <c r="B336" s="500" t="s">
        <v>1843</v>
      </c>
      <c r="C336" s="126" t="s">
        <v>839</v>
      </c>
      <c r="D336" s="210"/>
      <c r="E336" s="131"/>
      <c r="F336" s="211"/>
      <c r="G336" s="198"/>
      <c r="H336" s="203">
        <v>0</v>
      </c>
      <c r="I336" s="123">
        <v>0</v>
      </c>
      <c r="J336" s="204">
        <v>0</v>
      </c>
    </row>
    <row r="337" spans="1:10" ht="20.25" customHeight="1" x14ac:dyDescent="0.35">
      <c r="A337" s="497" t="s">
        <v>1935</v>
      </c>
      <c r="B337" s="500" t="s">
        <v>1845</v>
      </c>
      <c r="C337" s="126" t="s">
        <v>859</v>
      </c>
      <c r="D337" s="210" t="s">
        <v>903</v>
      </c>
      <c r="E337" s="131" t="s">
        <v>1907</v>
      </c>
      <c r="F337" s="211" t="s">
        <v>1837</v>
      </c>
      <c r="G337" s="198"/>
      <c r="H337" s="203">
        <v>1</v>
      </c>
      <c r="I337" s="123">
        <v>1</v>
      </c>
      <c r="J337" s="204">
        <v>2</v>
      </c>
    </row>
    <row r="338" spans="1:10" ht="20.25" customHeight="1" x14ac:dyDescent="0.35">
      <c r="A338" s="497" t="s">
        <v>1935</v>
      </c>
      <c r="B338" s="500" t="s">
        <v>1846</v>
      </c>
      <c r="C338" s="126" t="s">
        <v>879</v>
      </c>
      <c r="D338" s="210"/>
      <c r="E338" s="131"/>
      <c r="F338" s="211"/>
      <c r="G338" s="123"/>
      <c r="H338" s="203">
        <v>0</v>
      </c>
      <c r="I338" s="123">
        <v>0</v>
      </c>
      <c r="J338" s="204">
        <v>0</v>
      </c>
    </row>
    <row r="339" spans="1:10" ht="20.25" customHeight="1" x14ac:dyDescent="0.35">
      <c r="A339" s="497" t="s">
        <v>1935</v>
      </c>
      <c r="B339" s="500" t="s">
        <v>1848</v>
      </c>
      <c r="C339" s="126" t="s">
        <v>741</v>
      </c>
      <c r="D339" s="210" t="s">
        <v>1831</v>
      </c>
      <c r="E339" s="131" t="s">
        <v>1836</v>
      </c>
      <c r="F339" s="211"/>
      <c r="G339" s="123"/>
      <c r="H339" s="203">
        <v>1</v>
      </c>
      <c r="I339" s="123">
        <v>2</v>
      </c>
      <c r="J339" s="204">
        <v>0</v>
      </c>
    </row>
    <row r="340" spans="1:10" ht="20.25" customHeight="1" x14ac:dyDescent="0.35">
      <c r="A340" s="497" t="s">
        <v>1935</v>
      </c>
      <c r="B340" s="500" t="s">
        <v>1850</v>
      </c>
      <c r="C340" s="126" t="s">
        <v>761</v>
      </c>
      <c r="D340" s="210"/>
      <c r="E340" s="504"/>
      <c r="F340" s="211"/>
      <c r="G340" s="198"/>
      <c r="H340" s="203">
        <v>0</v>
      </c>
      <c r="I340" s="123">
        <v>0</v>
      </c>
      <c r="J340" s="204">
        <v>0</v>
      </c>
    </row>
    <row r="341" spans="1:10" ht="20.25" customHeight="1" x14ac:dyDescent="0.35">
      <c r="A341" s="497" t="s">
        <v>1935</v>
      </c>
      <c r="B341" s="500" t="s">
        <v>1852</v>
      </c>
      <c r="C341" s="126" t="s">
        <v>781</v>
      </c>
      <c r="D341" s="210" t="s">
        <v>1836</v>
      </c>
      <c r="E341" s="131" t="s">
        <v>1912</v>
      </c>
      <c r="F341" s="211" t="s">
        <v>1855</v>
      </c>
      <c r="G341" s="123"/>
      <c r="H341" s="203">
        <v>2</v>
      </c>
      <c r="I341" s="123">
        <v>4</v>
      </c>
      <c r="J341" s="204">
        <v>4</v>
      </c>
    </row>
    <row r="342" spans="1:10" ht="20.25" customHeight="1" x14ac:dyDescent="0.35">
      <c r="A342" s="497" t="s">
        <v>1935</v>
      </c>
      <c r="B342" s="500" t="s">
        <v>1854</v>
      </c>
      <c r="C342" s="126" t="s">
        <v>801</v>
      </c>
      <c r="D342" s="210" t="s">
        <v>1877</v>
      </c>
      <c r="E342" s="131" t="s">
        <v>1855</v>
      </c>
      <c r="F342" s="211" t="s">
        <v>1855</v>
      </c>
      <c r="G342" s="123"/>
      <c r="H342" s="203">
        <v>2</v>
      </c>
      <c r="I342" s="123">
        <v>4</v>
      </c>
      <c r="J342" s="204">
        <v>4</v>
      </c>
    </row>
    <row r="343" spans="1:10" ht="20.25" customHeight="1" x14ac:dyDescent="0.35">
      <c r="A343" s="497" t="s">
        <v>1935</v>
      </c>
      <c r="B343" s="500" t="s">
        <v>1858</v>
      </c>
      <c r="C343" s="126" t="s">
        <v>821</v>
      </c>
      <c r="D343" s="508"/>
      <c r="E343" s="504"/>
      <c r="F343" s="211"/>
      <c r="G343" s="198"/>
      <c r="H343" s="203">
        <v>0</v>
      </c>
      <c r="I343" s="123">
        <v>0</v>
      </c>
      <c r="J343" s="204">
        <v>0</v>
      </c>
    </row>
    <row r="344" spans="1:10" ht="20.25" customHeight="1" x14ac:dyDescent="0.35">
      <c r="A344" s="497" t="s">
        <v>1935</v>
      </c>
      <c r="B344" s="500" t="s">
        <v>1860</v>
      </c>
      <c r="C344" s="126" t="s">
        <v>841</v>
      </c>
      <c r="D344" s="210"/>
      <c r="E344" s="131" t="s">
        <v>1830</v>
      </c>
      <c r="F344" s="211" t="s">
        <v>1831</v>
      </c>
      <c r="G344" s="198"/>
      <c r="H344" s="203">
        <v>2</v>
      </c>
      <c r="I344" s="123">
        <v>1</v>
      </c>
      <c r="J344" s="204">
        <v>0</v>
      </c>
    </row>
    <row r="345" spans="1:10" ht="20.25" customHeight="1" x14ac:dyDescent="0.35">
      <c r="A345" s="497" t="s">
        <v>1935</v>
      </c>
      <c r="B345" s="500" t="s">
        <v>1862</v>
      </c>
      <c r="C345" s="126" t="s">
        <v>861</v>
      </c>
      <c r="D345" s="210"/>
      <c r="E345" s="131"/>
      <c r="F345" s="211"/>
      <c r="G345" s="123"/>
      <c r="H345" s="203">
        <v>0</v>
      </c>
      <c r="I345" s="123">
        <v>0</v>
      </c>
      <c r="J345" s="204">
        <v>0</v>
      </c>
    </row>
    <row r="346" spans="1:10" ht="20.25" customHeight="1" x14ac:dyDescent="0.35">
      <c r="A346" s="497" t="s">
        <v>1935</v>
      </c>
      <c r="B346" s="500" t="s">
        <v>1863</v>
      </c>
      <c r="C346" s="126" t="s">
        <v>881</v>
      </c>
      <c r="D346" s="210" t="s">
        <v>1936</v>
      </c>
      <c r="E346" s="131" t="s">
        <v>1925</v>
      </c>
      <c r="F346" s="211" t="s">
        <v>1925</v>
      </c>
      <c r="G346" s="198"/>
      <c r="H346" s="203">
        <v>3</v>
      </c>
      <c r="I346" s="123">
        <v>4</v>
      </c>
      <c r="J346" s="204">
        <v>4</v>
      </c>
    </row>
    <row r="347" spans="1:10" ht="20.25" customHeight="1" x14ac:dyDescent="0.35">
      <c r="A347" s="497" t="s">
        <v>1935</v>
      </c>
      <c r="B347" s="500" t="s">
        <v>1864</v>
      </c>
      <c r="C347" s="126" t="s">
        <v>743</v>
      </c>
      <c r="D347" s="210"/>
      <c r="E347" s="131"/>
      <c r="F347" s="211"/>
      <c r="G347" s="123"/>
      <c r="H347" s="203">
        <v>0</v>
      </c>
      <c r="I347" s="123">
        <v>0</v>
      </c>
      <c r="J347" s="204">
        <v>0</v>
      </c>
    </row>
    <row r="348" spans="1:10" ht="20.25" customHeight="1" x14ac:dyDescent="0.35">
      <c r="A348" s="497" t="s">
        <v>1935</v>
      </c>
      <c r="B348" s="500" t="s">
        <v>1865</v>
      </c>
      <c r="C348" s="126" t="s">
        <v>763</v>
      </c>
      <c r="D348" s="210"/>
      <c r="E348" s="504"/>
      <c r="F348" s="211"/>
      <c r="G348" s="198"/>
      <c r="H348" s="203">
        <v>0</v>
      </c>
      <c r="I348" s="123">
        <v>0</v>
      </c>
      <c r="J348" s="204">
        <v>0</v>
      </c>
    </row>
    <row r="349" spans="1:10" ht="20.25" customHeight="1" x14ac:dyDescent="0.35">
      <c r="A349" s="497" t="s">
        <v>1935</v>
      </c>
      <c r="B349" s="500" t="s">
        <v>1866</v>
      </c>
      <c r="C349" s="126" t="s">
        <v>783</v>
      </c>
      <c r="D349" s="210"/>
      <c r="E349" s="131"/>
      <c r="F349" s="211"/>
      <c r="G349" s="123"/>
      <c r="H349" s="203">
        <v>0</v>
      </c>
      <c r="I349" s="123">
        <v>0</v>
      </c>
      <c r="J349" s="204">
        <v>0</v>
      </c>
    </row>
    <row r="350" spans="1:10" ht="20.25" customHeight="1" x14ac:dyDescent="0.35">
      <c r="A350" s="497" t="s">
        <v>1935</v>
      </c>
      <c r="B350" s="500" t="s">
        <v>1867</v>
      </c>
      <c r="C350" s="126" t="s">
        <v>803</v>
      </c>
      <c r="D350" s="210"/>
      <c r="E350" s="131" t="s">
        <v>1878</v>
      </c>
      <c r="F350" s="211" t="s">
        <v>1855</v>
      </c>
      <c r="G350" s="123"/>
      <c r="H350" s="203">
        <v>0</v>
      </c>
      <c r="I350" s="123">
        <v>1</v>
      </c>
      <c r="J350" s="204">
        <v>4</v>
      </c>
    </row>
    <row r="351" spans="1:10" ht="20.25" customHeight="1" x14ac:dyDescent="0.35">
      <c r="A351" s="497" t="s">
        <v>1935</v>
      </c>
      <c r="B351" s="500" t="s">
        <v>1869</v>
      </c>
      <c r="C351" s="126" t="s">
        <v>823</v>
      </c>
      <c r="D351" s="210"/>
      <c r="E351" s="131"/>
      <c r="F351" s="211"/>
      <c r="G351" s="123"/>
      <c r="H351" s="203">
        <v>0</v>
      </c>
      <c r="I351" s="123">
        <v>0</v>
      </c>
      <c r="J351" s="204">
        <v>0</v>
      </c>
    </row>
    <row r="352" spans="1:10" ht="20.25" customHeight="1" x14ac:dyDescent="0.35">
      <c r="A352" s="497" t="s">
        <v>1935</v>
      </c>
      <c r="B352" s="500" t="s">
        <v>1870</v>
      </c>
      <c r="C352" s="126" t="s">
        <v>843</v>
      </c>
      <c r="D352" s="210"/>
      <c r="E352" s="131"/>
      <c r="F352" s="211"/>
      <c r="G352" s="123"/>
      <c r="H352" s="203">
        <v>0</v>
      </c>
      <c r="I352" s="123">
        <v>0</v>
      </c>
      <c r="J352" s="204">
        <v>0</v>
      </c>
    </row>
    <row r="353" spans="1:10" ht="20.25" customHeight="1" x14ac:dyDescent="0.35">
      <c r="A353" s="497" t="s">
        <v>1935</v>
      </c>
      <c r="B353" s="500" t="s">
        <v>1871</v>
      </c>
      <c r="C353" s="126" t="s">
        <v>863</v>
      </c>
      <c r="D353" s="210"/>
      <c r="E353" s="131"/>
      <c r="F353" s="211"/>
      <c r="G353" s="123"/>
      <c r="H353" s="203">
        <v>0</v>
      </c>
      <c r="I353" s="123">
        <v>0</v>
      </c>
      <c r="J353" s="204">
        <v>0</v>
      </c>
    </row>
    <row r="354" spans="1:10" ht="20.25" customHeight="1" x14ac:dyDescent="0.35">
      <c r="A354" s="497" t="s">
        <v>1935</v>
      </c>
      <c r="B354" s="500" t="s">
        <v>1872</v>
      </c>
      <c r="C354" s="126" t="s">
        <v>883</v>
      </c>
      <c r="D354" s="506" t="s">
        <v>1856</v>
      </c>
      <c r="E354" s="507" t="s">
        <v>1856</v>
      </c>
      <c r="F354" s="505" t="s">
        <v>1856</v>
      </c>
      <c r="G354" s="123"/>
      <c r="H354" s="203">
        <v>4</v>
      </c>
      <c r="I354" s="123">
        <v>4</v>
      </c>
      <c r="J354" s="204">
        <v>4</v>
      </c>
    </row>
    <row r="355" spans="1:10" ht="20.25" customHeight="1" x14ac:dyDescent="0.35">
      <c r="A355" s="497" t="s">
        <v>1935</v>
      </c>
      <c r="B355" s="500" t="s">
        <v>1873</v>
      </c>
      <c r="C355" s="126" t="s">
        <v>745</v>
      </c>
      <c r="D355" s="210"/>
      <c r="E355" s="131"/>
      <c r="F355" s="211"/>
      <c r="G355" s="123"/>
      <c r="H355" s="203">
        <v>0</v>
      </c>
      <c r="I355" s="123">
        <v>0</v>
      </c>
      <c r="J355" s="204">
        <v>0</v>
      </c>
    </row>
    <row r="356" spans="1:10" ht="20.25" customHeight="1" x14ac:dyDescent="0.35">
      <c r="A356" s="497" t="s">
        <v>1935</v>
      </c>
      <c r="B356" s="500" t="s">
        <v>1874</v>
      </c>
      <c r="C356" s="126" t="s">
        <v>765</v>
      </c>
      <c r="D356" s="210"/>
      <c r="E356" s="504"/>
      <c r="F356" s="211"/>
      <c r="G356" s="198"/>
      <c r="H356" s="203">
        <v>0</v>
      </c>
      <c r="I356" s="123">
        <v>0</v>
      </c>
      <c r="J356" s="204">
        <v>0</v>
      </c>
    </row>
    <row r="357" spans="1:10" ht="20.25" customHeight="1" x14ac:dyDescent="0.35">
      <c r="A357" s="497" t="s">
        <v>1935</v>
      </c>
      <c r="B357" s="500" t="s">
        <v>1876</v>
      </c>
      <c r="C357" s="126" t="s">
        <v>785</v>
      </c>
      <c r="D357" s="210"/>
      <c r="E357" s="131" t="s">
        <v>1837</v>
      </c>
      <c r="F357" s="211" t="s">
        <v>1937</v>
      </c>
      <c r="G357" s="123"/>
      <c r="H357" s="203">
        <v>0</v>
      </c>
      <c r="I357" s="123">
        <v>2</v>
      </c>
      <c r="J357" s="204">
        <v>4</v>
      </c>
    </row>
    <row r="358" spans="1:10" ht="20.25" customHeight="1" x14ac:dyDescent="0.35">
      <c r="A358" s="497" t="s">
        <v>1935</v>
      </c>
      <c r="B358" s="500" t="s">
        <v>1879</v>
      </c>
      <c r="C358" s="126" t="s">
        <v>805</v>
      </c>
      <c r="D358" s="210"/>
      <c r="E358" s="131"/>
      <c r="F358" s="211"/>
      <c r="G358" s="123"/>
      <c r="H358" s="203">
        <v>0</v>
      </c>
      <c r="I358" s="123">
        <v>0</v>
      </c>
      <c r="J358" s="204">
        <v>0</v>
      </c>
    </row>
    <row r="359" spans="1:10" ht="20.25" customHeight="1" x14ac:dyDescent="0.35">
      <c r="A359" s="497" t="s">
        <v>1935</v>
      </c>
      <c r="B359" s="500" t="s">
        <v>1880</v>
      </c>
      <c r="C359" s="126" t="s">
        <v>825</v>
      </c>
      <c r="D359" s="508"/>
      <c r="E359" s="504"/>
      <c r="F359" s="211" t="s">
        <v>1840</v>
      </c>
      <c r="G359" s="198"/>
      <c r="H359" s="203">
        <v>0</v>
      </c>
      <c r="I359" s="123">
        <v>0</v>
      </c>
      <c r="J359" s="204">
        <v>1</v>
      </c>
    </row>
    <row r="360" spans="1:10" ht="20.25" customHeight="1" x14ac:dyDescent="0.35">
      <c r="A360" s="497" t="s">
        <v>1935</v>
      </c>
      <c r="B360" s="500" t="s">
        <v>1881</v>
      </c>
      <c r="C360" s="126" t="s">
        <v>845</v>
      </c>
      <c r="D360" s="210"/>
      <c r="E360" s="131"/>
      <c r="F360" s="211"/>
      <c r="G360" s="198"/>
      <c r="H360" s="203">
        <v>0</v>
      </c>
      <c r="I360" s="123">
        <v>0</v>
      </c>
      <c r="J360" s="204">
        <v>0</v>
      </c>
    </row>
    <row r="361" spans="1:10" ht="20.25" customHeight="1" x14ac:dyDescent="0.35">
      <c r="A361" s="497" t="s">
        <v>1935</v>
      </c>
      <c r="B361" s="500" t="s">
        <v>1882</v>
      </c>
      <c r="C361" s="126" t="s">
        <v>865</v>
      </c>
      <c r="D361" s="210" t="s">
        <v>1831</v>
      </c>
      <c r="E361" s="131"/>
      <c r="F361" s="211"/>
      <c r="G361" s="123"/>
      <c r="H361" s="203">
        <v>1</v>
      </c>
      <c r="I361" s="123">
        <v>0</v>
      </c>
      <c r="J361" s="204">
        <v>0</v>
      </c>
    </row>
    <row r="362" spans="1:10" ht="20.25" customHeight="1" x14ac:dyDescent="0.35">
      <c r="A362" s="497" t="s">
        <v>1935</v>
      </c>
      <c r="B362" s="500" t="s">
        <v>1883</v>
      </c>
      <c r="C362" s="126" t="s">
        <v>885</v>
      </c>
      <c r="D362" s="210"/>
      <c r="E362" s="131"/>
      <c r="F362" s="211"/>
      <c r="G362" s="123"/>
      <c r="H362" s="203">
        <v>0</v>
      </c>
      <c r="I362" s="123">
        <v>0</v>
      </c>
      <c r="J362" s="204">
        <v>0</v>
      </c>
    </row>
    <row r="363" spans="1:10" ht="20.25" customHeight="1" x14ac:dyDescent="0.35">
      <c r="A363" s="497" t="s">
        <v>1935</v>
      </c>
      <c r="B363" s="500" t="s">
        <v>1884</v>
      </c>
      <c r="C363" s="126" t="s">
        <v>747</v>
      </c>
      <c r="D363" s="210" t="s">
        <v>1914</v>
      </c>
      <c r="E363" s="504" t="s">
        <v>1938</v>
      </c>
      <c r="F363" s="211" t="s">
        <v>1938</v>
      </c>
      <c r="G363" s="198"/>
      <c r="H363" s="203">
        <v>3</v>
      </c>
      <c r="I363" s="123">
        <v>4</v>
      </c>
      <c r="J363" s="204">
        <v>4</v>
      </c>
    </row>
    <row r="364" spans="1:10" ht="20.25" customHeight="1" x14ac:dyDescent="0.35">
      <c r="A364" s="497" t="s">
        <v>1935</v>
      </c>
      <c r="B364" s="500" t="s">
        <v>1885</v>
      </c>
      <c r="C364" s="126" t="s">
        <v>767</v>
      </c>
      <c r="D364" s="210"/>
      <c r="E364" s="131"/>
      <c r="F364" s="211"/>
      <c r="G364" s="123"/>
      <c r="H364" s="203">
        <v>0</v>
      </c>
      <c r="I364" s="123">
        <v>0</v>
      </c>
      <c r="J364" s="204">
        <v>0</v>
      </c>
    </row>
    <row r="365" spans="1:10" ht="20.25" customHeight="1" x14ac:dyDescent="0.35">
      <c r="A365" s="497" t="s">
        <v>1935</v>
      </c>
      <c r="B365" s="500" t="s">
        <v>1886</v>
      </c>
      <c r="C365" s="126" t="s">
        <v>787</v>
      </c>
      <c r="D365" s="210"/>
      <c r="E365" s="131"/>
      <c r="F365" s="211"/>
      <c r="G365" s="123"/>
      <c r="H365" s="203">
        <v>0</v>
      </c>
      <c r="I365" s="123">
        <v>0</v>
      </c>
      <c r="J365" s="204">
        <v>0</v>
      </c>
    </row>
    <row r="366" spans="1:10" ht="20.25" customHeight="1" x14ac:dyDescent="0.35">
      <c r="A366" s="497" t="s">
        <v>1935</v>
      </c>
      <c r="B366" s="500" t="s">
        <v>1887</v>
      </c>
      <c r="C366" s="126" t="s">
        <v>807</v>
      </c>
      <c r="D366" s="508"/>
      <c r="E366" s="504"/>
      <c r="F366" s="211"/>
      <c r="G366" s="198"/>
      <c r="H366" s="203">
        <v>0</v>
      </c>
      <c r="I366" s="123">
        <v>0</v>
      </c>
      <c r="J366" s="204">
        <v>0</v>
      </c>
    </row>
    <row r="367" spans="1:10" ht="20.25" customHeight="1" x14ac:dyDescent="0.35">
      <c r="A367" s="497" t="s">
        <v>1935</v>
      </c>
      <c r="B367" s="500" t="s">
        <v>1888</v>
      </c>
      <c r="C367" s="126" t="s">
        <v>827</v>
      </c>
      <c r="D367" s="210"/>
      <c r="E367" s="131"/>
      <c r="F367" s="211"/>
      <c r="G367" s="123"/>
      <c r="H367" s="203">
        <v>0</v>
      </c>
      <c r="I367" s="123">
        <v>0</v>
      </c>
      <c r="J367" s="204">
        <v>0</v>
      </c>
    </row>
    <row r="368" spans="1:10" ht="20.25" customHeight="1" x14ac:dyDescent="0.35">
      <c r="A368" s="497" t="s">
        <v>1935</v>
      </c>
      <c r="B368" s="500" t="s">
        <v>1889</v>
      </c>
      <c r="C368" s="126" t="s">
        <v>847</v>
      </c>
      <c r="D368" s="210"/>
      <c r="E368" s="131"/>
      <c r="F368" s="211"/>
      <c r="G368" s="123"/>
      <c r="H368" s="203">
        <v>0</v>
      </c>
      <c r="I368" s="123">
        <v>0</v>
      </c>
      <c r="J368" s="204">
        <v>0</v>
      </c>
    </row>
    <row r="369" spans="1:13" ht="20.25" customHeight="1" x14ac:dyDescent="0.35">
      <c r="A369" s="497" t="s">
        <v>1935</v>
      </c>
      <c r="B369" s="500" t="s">
        <v>1890</v>
      </c>
      <c r="C369" s="126" t="s">
        <v>867</v>
      </c>
      <c r="D369" s="210"/>
      <c r="E369" s="507" t="s">
        <v>1856</v>
      </c>
      <c r="F369" s="505" t="s">
        <v>1856</v>
      </c>
      <c r="G369" s="123"/>
      <c r="H369" s="203">
        <v>0</v>
      </c>
      <c r="I369" s="123">
        <v>0</v>
      </c>
      <c r="J369" s="204">
        <v>0</v>
      </c>
    </row>
    <row r="370" spans="1:13" ht="20.25" customHeight="1" x14ac:dyDescent="0.35">
      <c r="A370" s="497" t="s">
        <v>1935</v>
      </c>
      <c r="B370" s="500" t="s">
        <v>1891</v>
      </c>
      <c r="C370" s="126" t="s">
        <v>887</v>
      </c>
      <c r="D370" s="210" t="s">
        <v>1855</v>
      </c>
      <c r="E370" s="131" t="s">
        <v>1855</v>
      </c>
      <c r="F370" s="505" t="s">
        <v>1856</v>
      </c>
      <c r="G370" s="123"/>
      <c r="H370" s="203">
        <v>4</v>
      </c>
      <c r="I370" s="123">
        <v>4</v>
      </c>
      <c r="J370" s="204">
        <v>4</v>
      </c>
    </row>
    <row r="371" spans="1:13" ht="20.25" customHeight="1" x14ac:dyDescent="0.35">
      <c r="A371" s="497" t="s">
        <v>1935</v>
      </c>
      <c r="B371" s="500" t="s">
        <v>1892</v>
      </c>
      <c r="C371" s="126" t="s">
        <v>749</v>
      </c>
      <c r="D371" s="210"/>
      <c r="E371" s="131" t="s">
        <v>1836</v>
      </c>
      <c r="F371" s="211" t="s">
        <v>1855</v>
      </c>
      <c r="G371" s="123"/>
      <c r="H371" s="203">
        <v>0</v>
      </c>
      <c r="I371" s="123">
        <v>2</v>
      </c>
      <c r="J371" s="204">
        <v>4</v>
      </c>
    </row>
    <row r="372" spans="1:13" ht="20.25" customHeight="1" x14ac:dyDescent="0.35">
      <c r="A372" s="497" t="s">
        <v>1935</v>
      </c>
      <c r="B372" s="500" t="s">
        <v>1893</v>
      </c>
      <c r="C372" s="126" t="s">
        <v>769</v>
      </c>
      <c r="D372" s="210"/>
      <c r="E372" s="504"/>
      <c r="F372" s="211"/>
      <c r="G372" s="198"/>
      <c r="H372" s="203">
        <v>0</v>
      </c>
      <c r="I372" s="123">
        <v>0</v>
      </c>
      <c r="J372" s="204">
        <v>0</v>
      </c>
    </row>
    <row r="373" spans="1:13" ht="20.25" customHeight="1" x14ac:dyDescent="0.35">
      <c r="A373" s="497" t="s">
        <v>1935</v>
      </c>
      <c r="B373" s="500" t="s">
        <v>1894</v>
      </c>
      <c r="C373" s="126" t="s">
        <v>789</v>
      </c>
      <c r="D373" s="210" t="s">
        <v>1855</v>
      </c>
      <c r="E373" s="131" t="s">
        <v>1855</v>
      </c>
      <c r="F373" s="505" t="s">
        <v>1856</v>
      </c>
      <c r="G373" s="123"/>
      <c r="H373" s="203">
        <v>4</v>
      </c>
      <c r="I373" s="123">
        <v>4</v>
      </c>
      <c r="J373" s="204">
        <v>4</v>
      </c>
    </row>
    <row r="374" spans="1:13" ht="20.25" customHeight="1" x14ac:dyDescent="0.35">
      <c r="A374" s="497" t="s">
        <v>1935</v>
      </c>
      <c r="B374" s="500" t="s">
        <v>1895</v>
      </c>
      <c r="C374" s="126" t="s">
        <v>809</v>
      </c>
      <c r="D374" s="210"/>
      <c r="E374" s="131"/>
      <c r="F374" s="211"/>
      <c r="G374" s="123"/>
      <c r="H374" s="203">
        <v>0</v>
      </c>
      <c r="I374" s="123">
        <v>0</v>
      </c>
      <c r="J374" s="204">
        <v>0</v>
      </c>
    </row>
    <row r="375" spans="1:13" ht="20.25" customHeight="1" x14ac:dyDescent="0.35">
      <c r="A375" s="497" t="s">
        <v>1935</v>
      </c>
      <c r="B375" s="500" t="s">
        <v>1896</v>
      </c>
      <c r="C375" s="126" t="s">
        <v>829</v>
      </c>
      <c r="D375" s="508"/>
      <c r="E375" s="504"/>
      <c r="F375" s="211" t="s">
        <v>1837</v>
      </c>
      <c r="G375" s="198"/>
      <c r="H375" s="203">
        <v>0</v>
      </c>
      <c r="I375" s="123">
        <v>0</v>
      </c>
      <c r="J375" s="204">
        <v>2</v>
      </c>
      <c r="L375" s="123"/>
      <c r="M375" s="123"/>
    </row>
    <row r="376" spans="1:13" ht="20.25" customHeight="1" x14ac:dyDescent="0.35">
      <c r="A376" s="497" t="s">
        <v>1935</v>
      </c>
      <c r="B376" s="500" t="s">
        <v>1897</v>
      </c>
      <c r="C376" s="126" t="s">
        <v>849</v>
      </c>
      <c r="D376" s="506" t="s">
        <v>1856</v>
      </c>
      <c r="E376" s="507" t="s">
        <v>1856</v>
      </c>
      <c r="F376" s="505" t="s">
        <v>1856</v>
      </c>
      <c r="G376" s="123"/>
      <c r="H376" s="203">
        <v>4</v>
      </c>
      <c r="I376" s="123">
        <v>4</v>
      </c>
      <c r="J376" s="204">
        <v>4</v>
      </c>
    </row>
    <row r="377" spans="1:13" ht="20.25" customHeight="1" x14ac:dyDescent="0.35">
      <c r="A377" s="497" t="s">
        <v>1935</v>
      </c>
      <c r="B377" s="500" t="s">
        <v>1898</v>
      </c>
      <c r="C377" s="126" t="s">
        <v>869</v>
      </c>
      <c r="D377" s="210" t="s">
        <v>1831</v>
      </c>
      <c r="E377" s="131" t="s">
        <v>1855</v>
      </c>
      <c r="F377" s="211" t="s">
        <v>1856</v>
      </c>
      <c r="G377" s="123"/>
      <c r="H377" s="203">
        <v>1</v>
      </c>
      <c r="I377" s="123">
        <v>4</v>
      </c>
      <c r="J377" s="204">
        <v>4</v>
      </c>
    </row>
    <row r="378" spans="1:13" ht="20.25" customHeight="1" x14ac:dyDescent="0.35">
      <c r="A378" s="497" t="s">
        <v>1935</v>
      </c>
      <c r="B378" s="500" t="s">
        <v>1899</v>
      </c>
      <c r="C378" s="126" t="s">
        <v>889</v>
      </c>
      <c r="D378" s="210"/>
      <c r="E378" s="131"/>
      <c r="F378" s="211"/>
      <c r="G378" s="123"/>
      <c r="H378" s="203">
        <v>0</v>
      </c>
      <c r="I378" s="123">
        <v>0</v>
      </c>
      <c r="J378" s="204">
        <v>0</v>
      </c>
    </row>
    <row r="379" spans="1:13" ht="20.25" customHeight="1" x14ac:dyDescent="0.35">
      <c r="A379" s="497" t="s">
        <v>1935</v>
      </c>
      <c r="B379" s="500" t="s">
        <v>1900</v>
      </c>
      <c r="C379" s="126" t="s">
        <v>751</v>
      </c>
      <c r="D379" s="210"/>
      <c r="E379" s="131"/>
      <c r="F379" s="211"/>
      <c r="G379" s="123"/>
      <c r="H379" s="203">
        <v>0</v>
      </c>
      <c r="I379" s="123">
        <v>0</v>
      </c>
      <c r="J379" s="204">
        <v>0</v>
      </c>
    </row>
    <row r="380" spans="1:13" ht="20.25" customHeight="1" x14ac:dyDescent="0.35">
      <c r="A380" s="497" t="s">
        <v>1935</v>
      </c>
      <c r="B380" s="500" t="s">
        <v>1902</v>
      </c>
      <c r="C380" s="126" t="s">
        <v>771</v>
      </c>
      <c r="D380" s="210"/>
      <c r="E380" s="131"/>
      <c r="F380" s="211"/>
      <c r="G380" s="123"/>
      <c r="H380" s="203">
        <v>0</v>
      </c>
      <c r="I380" s="123">
        <v>0</v>
      </c>
      <c r="J380" s="204">
        <v>0</v>
      </c>
    </row>
    <row r="381" spans="1:13" ht="20.25" customHeight="1" x14ac:dyDescent="0.35">
      <c r="A381" s="497" t="s">
        <v>1935</v>
      </c>
      <c r="B381" s="500" t="s">
        <v>1904</v>
      </c>
      <c r="C381" s="126" t="s">
        <v>791</v>
      </c>
      <c r="D381" s="210"/>
      <c r="E381" s="504"/>
      <c r="F381" s="211" t="s">
        <v>1840</v>
      </c>
      <c r="G381" s="198"/>
      <c r="H381" s="203">
        <v>0</v>
      </c>
      <c r="I381" s="123">
        <v>0</v>
      </c>
      <c r="J381" s="204">
        <v>1</v>
      </c>
    </row>
    <row r="382" spans="1:13" ht="20.25" customHeight="1" x14ac:dyDescent="0.35">
      <c r="A382" s="497" t="s">
        <v>1935</v>
      </c>
      <c r="B382" s="500" t="s">
        <v>1905</v>
      </c>
      <c r="C382" s="126" t="s">
        <v>811</v>
      </c>
      <c r="D382" s="508"/>
      <c r="E382" s="504"/>
      <c r="F382" s="211"/>
      <c r="G382" s="198"/>
      <c r="H382" s="203">
        <v>0</v>
      </c>
      <c r="I382" s="123">
        <v>0</v>
      </c>
      <c r="J382" s="204">
        <v>0</v>
      </c>
    </row>
    <row r="383" spans="1:13" ht="20.25" customHeight="1" x14ac:dyDescent="0.35">
      <c r="A383" s="497" t="s">
        <v>1935</v>
      </c>
      <c r="B383" s="500" t="s">
        <v>1906</v>
      </c>
      <c r="C383" s="126" t="s">
        <v>831</v>
      </c>
      <c r="D383" s="508"/>
      <c r="E383" s="504"/>
      <c r="F383" s="211"/>
      <c r="G383" s="198"/>
      <c r="H383" s="203">
        <v>0</v>
      </c>
      <c r="I383" s="123">
        <v>0</v>
      </c>
      <c r="J383" s="204">
        <v>0</v>
      </c>
      <c r="K383" s="198"/>
    </row>
    <row r="384" spans="1:13" ht="20.25" customHeight="1" x14ac:dyDescent="0.35">
      <c r="A384" s="497" t="s">
        <v>1935</v>
      </c>
      <c r="B384" s="500" t="s">
        <v>1908</v>
      </c>
      <c r="C384" s="126" t="s">
        <v>851</v>
      </c>
      <c r="D384" s="210"/>
      <c r="E384" s="131"/>
      <c r="F384" s="211"/>
      <c r="G384" s="123"/>
      <c r="H384" s="203">
        <v>0</v>
      </c>
      <c r="I384" s="123">
        <v>0</v>
      </c>
      <c r="J384" s="204">
        <v>0</v>
      </c>
      <c r="K384" s="198"/>
    </row>
    <row r="385" spans="1:23" ht="20.25" customHeight="1" x14ac:dyDescent="0.35">
      <c r="A385" s="497" t="s">
        <v>1935</v>
      </c>
      <c r="B385" s="500" t="s">
        <v>1910</v>
      </c>
      <c r="C385" s="126" t="s">
        <v>871</v>
      </c>
      <c r="D385" s="210"/>
      <c r="E385" s="131"/>
      <c r="F385" s="211"/>
      <c r="G385" s="123"/>
      <c r="H385" s="203">
        <v>0</v>
      </c>
      <c r="I385" s="123">
        <v>0</v>
      </c>
      <c r="J385" s="204">
        <v>0</v>
      </c>
      <c r="K385" s="198"/>
    </row>
    <row r="386" spans="1:23" ht="20.25" customHeight="1" x14ac:dyDescent="0.35">
      <c r="A386" s="497" t="s">
        <v>1935</v>
      </c>
      <c r="B386" s="500" t="s">
        <v>1911</v>
      </c>
      <c r="C386" s="126" t="s">
        <v>891</v>
      </c>
      <c r="D386" s="210"/>
      <c r="E386" s="131"/>
      <c r="F386" s="211"/>
      <c r="G386" s="123"/>
      <c r="H386" s="203">
        <v>0</v>
      </c>
      <c r="I386" s="123">
        <v>0</v>
      </c>
      <c r="J386" s="204">
        <v>0</v>
      </c>
      <c r="K386" s="198"/>
    </row>
    <row r="387" spans="1:23" s="198" customFormat="1" ht="20.25" customHeight="1" x14ac:dyDescent="0.35">
      <c r="A387" s="200" t="s">
        <v>1935</v>
      </c>
      <c r="B387" s="123" t="s">
        <v>35</v>
      </c>
      <c r="C387" s="126" t="s">
        <v>753</v>
      </c>
      <c r="D387" s="210" t="s">
        <v>1877</v>
      </c>
      <c r="E387" s="131" t="s">
        <v>1855</v>
      </c>
      <c r="F387" s="211" t="s">
        <v>1855</v>
      </c>
      <c r="G387" s="123"/>
      <c r="H387" s="203">
        <v>2</v>
      </c>
      <c r="I387" s="123">
        <v>4</v>
      </c>
      <c r="J387" s="204">
        <v>4</v>
      </c>
      <c r="L387" s="629" t="s">
        <v>1844</v>
      </c>
      <c r="M387" s="629"/>
      <c r="N387" s="629"/>
      <c r="O387" s="629"/>
      <c r="P387" s="127"/>
      <c r="Q387" s="127"/>
      <c r="R387" s="127"/>
      <c r="S387" s="127"/>
      <c r="T387" s="127"/>
      <c r="U387" s="127"/>
      <c r="V387" s="127"/>
      <c r="W387" s="127"/>
    </row>
    <row r="388" spans="1:23" s="198" customFormat="1" ht="20.25" customHeight="1" x14ac:dyDescent="0.35">
      <c r="A388" s="200" t="s">
        <v>1935</v>
      </c>
      <c r="B388" s="123" t="s">
        <v>65</v>
      </c>
      <c r="C388" s="126" t="s">
        <v>773</v>
      </c>
      <c r="D388" s="210"/>
      <c r="E388" s="131"/>
      <c r="F388" s="211"/>
      <c r="G388" s="123"/>
      <c r="H388" s="203">
        <v>0</v>
      </c>
      <c r="I388" s="123">
        <v>0</v>
      </c>
      <c r="J388" s="204">
        <v>0</v>
      </c>
      <c r="L388" s="216" t="s">
        <v>2032</v>
      </c>
      <c r="M388" s="124"/>
      <c r="N388" s="124"/>
      <c r="O388" s="125"/>
      <c r="P388" s="127"/>
      <c r="Q388" s="127"/>
      <c r="R388" s="127"/>
      <c r="S388" s="127"/>
      <c r="T388" s="127"/>
      <c r="U388" s="127"/>
      <c r="V388" s="127"/>
      <c r="W388" s="127"/>
    </row>
    <row r="389" spans="1:23" s="198" customFormat="1" ht="20.25" customHeight="1" x14ac:dyDescent="0.35">
      <c r="A389" s="200" t="s">
        <v>1935</v>
      </c>
      <c r="B389" s="123" t="s">
        <v>95</v>
      </c>
      <c r="C389" s="126" t="s">
        <v>793</v>
      </c>
      <c r="D389" s="210"/>
      <c r="E389" s="131"/>
      <c r="F389" s="211"/>
      <c r="G389" s="123"/>
      <c r="H389" s="203">
        <v>0</v>
      </c>
      <c r="I389" s="123">
        <v>0</v>
      </c>
      <c r="J389" s="204">
        <v>0</v>
      </c>
      <c r="L389" s="216" t="s">
        <v>1847</v>
      </c>
      <c r="M389" s="124"/>
      <c r="N389" s="124"/>
      <c r="O389" s="125"/>
      <c r="P389" s="127"/>
      <c r="Q389" s="127"/>
      <c r="R389" s="127"/>
      <c r="S389" s="127"/>
      <c r="T389" s="127"/>
      <c r="U389" s="127"/>
      <c r="V389" s="127"/>
      <c r="W389" s="127"/>
    </row>
    <row r="390" spans="1:23" s="198" customFormat="1" ht="20.25" customHeight="1" x14ac:dyDescent="0.35">
      <c r="A390" s="200" t="s">
        <v>1935</v>
      </c>
      <c r="B390" s="123" t="s">
        <v>125</v>
      </c>
      <c r="C390" s="126" t="s">
        <v>813</v>
      </c>
      <c r="D390" s="210"/>
      <c r="E390" s="131"/>
      <c r="F390" s="211"/>
      <c r="G390" s="123"/>
      <c r="H390" s="203">
        <v>0</v>
      </c>
      <c r="I390" s="123">
        <v>0</v>
      </c>
      <c r="J390" s="204">
        <v>0</v>
      </c>
      <c r="L390" s="216" t="s">
        <v>1849</v>
      </c>
      <c r="M390" s="124"/>
      <c r="N390" s="124"/>
      <c r="O390" s="125"/>
      <c r="P390" s="127"/>
      <c r="Q390" s="127"/>
      <c r="R390" s="127"/>
      <c r="S390" s="127"/>
      <c r="T390" s="127"/>
      <c r="U390" s="127"/>
      <c r="V390" s="127"/>
      <c r="W390" s="127"/>
    </row>
    <row r="391" spans="1:23" s="198" customFormat="1" ht="20.25" customHeight="1" x14ac:dyDescent="0.35">
      <c r="A391" s="200" t="s">
        <v>1935</v>
      </c>
      <c r="B391" s="123" t="s">
        <v>155</v>
      </c>
      <c r="C391" s="126" t="s">
        <v>833</v>
      </c>
      <c r="D391" s="210"/>
      <c r="E391" s="131"/>
      <c r="F391" s="211"/>
      <c r="G391" s="123"/>
      <c r="H391" s="203">
        <v>0</v>
      </c>
      <c r="I391" s="123">
        <v>0</v>
      </c>
      <c r="J391" s="204">
        <v>0</v>
      </c>
      <c r="L391" s="216" t="s">
        <v>1851</v>
      </c>
      <c r="M391" s="124"/>
      <c r="N391" s="124"/>
      <c r="O391" s="125"/>
      <c r="P391" s="127"/>
      <c r="Q391" s="127"/>
      <c r="R391" s="127"/>
      <c r="S391" s="127"/>
      <c r="T391" s="127"/>
      <c r="U391" s="127"/>
      <c r="V391" s="127"/>
      <c r="W391" s="127"/>
    </row>
    <row r="392" spans="1:23" s="198" customFormat="1" ht="20.25" customHeight="1" x14ac:dyDescent="0.35">
      <c r="A392" s="200" t="s">
        <v>1935</v>
      </c>
      <c r="B392" s="123" t="s">
        <v>185</v>
      </c>
      <c r="C392" s="126" t="s">
        <v>853</v>
      </c>
      <c r="D392" s="210"/>
      <c r="E392" s="131"/>
      <c r="F392" s="211"/>
      <c r="G392" s="123"/>
      <c r="H392" s="203">
        <v>0</v>
      </c>
      <c r="I392" s="123">
        <v>0</v>
      </c>
      <c r="J392" s="204">
        <v>0</v>
      </c>
      <c r="L392" s="216" t="s">
        <v>1853</v>
      </c>
      <c r="M392" s="124"/>
      <c r="N392" s="124"/>
      <c r="O392" s="125"/>
      <c r="P392" s="127"/>
      <c r="Q392" s="127"/>
      <c r="R392" s="127"/>
      <c r="S392" s="127"/>
      <c r="T392" s="127"/>
      <c r="U392" s="127"/>
      <c r="V392" s="127"/>
      <c r="W392" s="127"/>
    </row>
    <row r="393" spans="1:23" s="198" customFormat="1" ht="20.25" customHeight="1" x14ac:dyDescent="0.35">
      <c r="A393" s="200" t="s">
        <v>1935</v>
      </c>
      <c r="B393" s="123" t="s">
        <v>215</v>
      </c>
      <c r="C393" s="126" t="s">
        <v>873</v>
      </c>
      <c r="D393" s="210"/>
      <c r="E393" s="131"/>
      <c r="F393" s="211"/>
      <c r="G393" s="123"/>
      <c r="H393" s="203">
        <v>0</v>
      </c>
      <c r="I393" s="123">
        <v>0</v>
      </c>
      <c r="J393" s="204">
        <v>0</v>
      </c>
      <c r="L393" s="217" t="s">
        <v>1857</v>
      </c>
    </row>
    <row r="394" spans="1:23" s="198" customFormat="1" ht="20.25" customHeight="1" x14ac:dyDescent="0.35">
      <c r="A394" s="200" t="s">
        <v>1935</v>
      </c>
      <c r="B394" s="123" t="s">
        <v>245</v>
      </c>
      <c r="C394" s="126" t="s">
        <v>893</v>
      </c>
      <c r="D394" s="210" t="s">
        <v>1840</v>
      </c>
      <c r="E394" s="131"/>
      <c r="F394" s="211"/>
      <c r="H394" s="203">
        <v>1</v>
      </c>
      <c r="I394" s="123">
        <v>0</v>
      </c>
      <c r="J394" s="204">
        <v>0</v>
      </c>
      <c r="L394" s="216" t="s">
        <v>1859</v>
      </c>
      <c r="M394" s="124"/>
      <c r="N394" s="124"/>
      <c r="O394" s="125"/>
      <c r="P394" s="127"/>
      <c r="Q394" s="127"/>
      <c r="R394" s="127"/>
      <c r="S394" s="127"/>
      <c r="T394" s="127"/>
      <c r="U394" s="127"/>
      <c r="V394" s="127"/>
      <c r="W394" s="127"/>
    </row>
    <row r="395" spans="1:23" s="198" customFormat="1" ht="20.25" customHeight="1" x14ac:dyDescent="0.35">
      <c r="A395" s="200" t="s">
        <v>1935</v>
      </c>
      <c r="B395" s="123" t="s">
        <v>38</v>
      </c>
      <c r="C395" s="126" t="s">
        <v>755</v>
      </c>
      <c r="D395" s="210"/>
      <c r="E395" s="131"/>
      <c r="F395" s="211"/>
      <c r="G395" s="123"/>
      <c r="H395" s="203">
        <v>0</v>
      </c>
      <c r="I395" s="123">
        <v>0</v>
      </c>
      <c r="J395" s="204">
        <v>0</v>
      </c>
      <c r="L395" s="216" t="s">
        <v>1861</v>
      </c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</row>
    <row r="396" spans="1:23" s="198" customFormat="1" ht="20.25" customHeight="1" x14ac:dyDescent="0.35">
      <c r="A396" s="200" t="s">
        <v>1935</v>
      </c>
      <c r="B396" s="123" t="s">
        <v>68</v>
      </c>
      <c r="C396" s="126" t="s">
        <v>775</v>
      </c>
      <c r="D396" s="210" t="s">
        <v>1831</v>
      </c>
      <c r="E396" s="131" t="s">
        <v>1831</v>
      </c>
      <c r="F396" s="211"/>
      <c r="G396" s="123"/>
      <c r="H396" s="203">
        <v>1</v>
      </c>
      <c r="I396" s="123">
        <v>1</v>
      </c>
      <c r="J396" s="204">
        <v>0</v>
      </c>
      <c r="L396" s="216" t="s">
        <v>2028</v>
      </c>
      <c r="M396" s="124"/>
      <c r="N396" s="124"/>
      <c r="O396" s="125"/>
      <c r="P396" s="127"/>
      <c r="Q396" s="127"/>
      <c r="R396" s="127"/>
      <c r="S396" s="127"/>
      <c r="T396" s="127"/>
      <c r="U396" s="127"/>
      <c r="V396" s="127"/>
      <c r="W396" s="127"/>
    </row>
    <row r="397" spans="1:23" s="198" customFormat="1" ht="20.25" customHeight="1" x14ac:dyDescent="0.35">
      <c r="A397" s="200" t="s">
        <v>1935</v>
      </c>
      <c r="B397" s="123" t="s">
        <v>98</v>
      </c>
      <c r="C397" s="126" t="s">
        <v>795</v>
      </c>
      <c r="D397" s="210"/>
      <c r="E397" s="131"/>
      <c r="F397" s="211"/>
      <c r="G397" s="123"/>
      <c r="H397" s="203">
        <v>0</v>
      </c>
      <c r="I397" s="123">
        <v>0</v>
      </c>
      <c r="J397" s="204">
        <v>0</v>
      </c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</row>
    <row r="398" spans="1:23" s="198" customFormat="1" ht="20.25" customHeight="1" x14ac:dyDescent="0.35">
      <c r="A398" s="200" t="s">
        <v>1935</v>
      </c>
      <c r="B398" s="123" t="s">
        <v>128</v>
      </c>
      <c r="C398" s="126" t="s">
        <v>815</v>
      </c>
      <c r="D398" s="210"/>
      <c r="E398" s="131"/>
      <c r="F398" s="211"/>
      <c r="G398" s="123"/>
      <c r="H398" s="203">
        <v>0</v>
      </c>
      <c r="I398" s="123">
        <v>0</v>
      </c>
      <c r="J398" s="204">
        <v>0</v>
      </c>
      <c r="L398" s="218" t="s">
        <v>2020</v>
      </c>
      <c r="M398" s="125"/>
      <c r="N398" s="125"/>
      <c r="O398" s="125"/>
      <c r="P398" s="127"/>
      <c r="Q398" s="127"/>
      <c r="R398" s="127"/>
      <c r="S398" s="127"/>
      <c r="T398" s="127"/>
      <c r="U398" s="127"/>
      <c r="V398" s="127"/>
      <c r="W398" s="127"/>
    </row>
    <row r="399" spans="1:23" s="198" customFormat="1" ht="30" customHeight="1" x14ac:dyDescent="0.35">
      <c r="A399" s="200" t="s">
        <v>1935</v>
      </c>
      <c r="B399" s="123" t="s">
        <v>158</v>
      </c>
      <c r="C399" s="126" t="s">
        <v>835</v>
      </c>
      <c r="D399" s="210" t="s">
        <v>903</v>
      </c>
      <c r="E399" s="131"/>
      <c r="F399" s="211"/>
      <c r="H399" s="203">
        <v>1</v>
      </c>
      <c r="I399" s="123">
        <v>0</v>
      </c>
      <c r="J399" s="204">
        <v>0</v>
      </c>
      <c r="L399" s="219" t="s">
        <v>2027</v>
      </c>
      <c r="M399" s="125"/>
      <c r="N399" s="125"/>
      <c r="O399" s="125"/>
      <c r="P399" s="127"/>
      <c r="Q399" s="127"/>
      <c r="R399" s="127"/>
      <c r="S399" s="127"/>
      <c r="T399" s="127"/>
      <c r="U399" s="127"/>
      <c r="V399" s="127"/>
      <c r="W399" s="127"/>
    </row>
    <row r="400" spans="1:23" s="198" customFormat="1" ht="20.25" customHeight="1" x14ac:dyDescent="0.35">
      <c r="A400" s="200" t="s">
        <v>1935</v>
      </c>
      <c r="B400" s="123" t="s">
        <v>188</v>
      </c>
      <c r="C400" s="126" t="s">
        <v>855</v>
      </c>
      <c r="D400" s="210"/>
      <c r="E400" s="131" t="s">
        <v>1907</v>
      </c>
      <c r="F400" s="211" t="s">
        <v>1925</v>
      </c>
      <c r="H400" s="203">
        <v>0</v>
      </c>
      <c r="I400" s="123">
        <v>2</v>
      </c>
      <c r="J400" s="204">
        <v>4</v>
      </c>
      <c r="L400" s="219" t="s">
        <v>2021</v>
      </c>
      <c r="M400" s="125"/>
      <c r="N400" s="125"/>
      <c r="O400" s="125"/>
      <c r="P400" s="125"/>
      <c r="Q400" s="125"/>
      <c r="R400" s="127"/>
      <c r="S400" s="127"/>
      <c r="T400" s="127"/>
      <c r="U400" s="127"/>
      <c r="V400" s="127"/>
      <c r="W400" s="127"/>
    </row>
    <row r="401" spans="1:23" s="198" customFormat="1" ht="20.25" customHeight="1" x14ac:dyDescent="0.35">
      <c r="A401" s="200" t="s">
        <v>1935</v>
      </c>
      <c r="B401" s="123" t="s">
        <v>218</v>
      </c>
      <c r="C401" s="126" t="s">
        <v>875</v>
      </c>
      <c r="D401" s="210"/>
      <c r="E401" s="131"/>
      <c r="F401" s="211"/>
      <c r="G401" s="123"/>
      <c r="H401" s="203">
        <v>0</v>
      </c>
      <c r="I401" s="123">
        <v>0</v>
      </c>
      <c r="J401" s="204">
        <v>0</v>
      </c>
      <c r="L401" s="219" t="s">
        <v>1868</v>
      </c>
      <c r="M401" s="125"/>
      <c r="N401" s="125"/>
      <c r="O401" s="125"/>
      <c r="P401" s="125"/>
      <c r="Q401" s="125"/>
      <c r="R401" s="127"/>
      <c r="S401" s="127"/>
      <c r="T401" s="127"/>
      <c r="U401" s="127"/>
      <c r="V401" s="127"/>
      <c r="W401" s="127"/>
    </row>
    <row r="402" spans="1:23" s="198" customFormat="1" ht="20.25" customHeight="1" thickBot="1" x14ac:dyDescent="0.4">
      <c r="A402" s="200" t="s">
        <v>1935</v>
      </c>
      <c r="B402" s="123" t="s">
        <v>248</v>
      </c>
      <c r="C402" s="126" t="s">
        <v>895</v>
      </c>
      <c r="D402" s="212"/>
      <c r="E402" s="213" t="s">
        <v>1907</v>
      </c>
      <c r="F402" s="214" t="s">
        <v>1907</v>
      </c>
      <c r="H402" s="207">
        <v>0</v>
      </c>
      <c r="I402" s="129">
        <v>1</v>
      </c>
      <c r="J402" s="208">
        <v>1</v>
      </c>
      <c r="L402" s="125"/>
      <c r="M402" s="125"/>
      <c r="N402" s="125"/>
      <c r="O402" s="125"/>
      <c r="P402" s="125"/>
      <c r="Q402" s="125"/>
      <c r="R402" s="127"/>
      <c r="S402" s="127"/>
      <c r="T402" s="127"/>
      <c r="U402" s="127"/>
      <c r="V402" s="127"/>
      <c r="W402" s="127"/>
    </row>
    <row r="403" spans="1:23" s="198" customFormat="1" ht="20.25" customHeight="1" x14ac:dyDescent="0.35">
      <c r="A403" s="200"/>
      <c r="C403" s="126"/>
      <c r="D403" s="511"/>
      <c r="E403" s="511"/>
      <c r="F403" s="511"/>
    </row>
    <row r="404" spans="1:23" s="198" customFormat="1" ht="20.25" customHeight="1" x14ac:dyDescent="0.35">
      <c r="A404" s="200"/>
      <c r="C404" s="126"/>
      <c r="D404" s="511"/>
      <c r="E404" s="511"/>
      <c r="F404" s="511"/>
    </row>
    <row r="405" spans="1:23" s="198" customFormat="1" ht="20.25" customHeight="1" x14ac:dyDescent="0.35">
      <c r="A405" s="200"/>
      <c r="C405" s="126"/>
      <c r="D405" s="511"/>
      <c r="E405" s="511"/>
      <c r="F405" s="511"/>
    </row>
  </sheetData>
  <mergeCells count="4">
    <mergeCell ref="D1:F1"/>
    <mergeCell ref="H1:J1"/>
    <mergeCell ref="L3:O3"/>
    <mergeCell ref="L387:O387"/>
  </mergeCells>
  <conditionalFormatting sqref="H323:J323 H364:J365 H327:J335 H341:J342 H349:J355 H357:J358 H373:J374 H384:J393 H367:J367 H345:J345 H361:J362 H376:J380 H401:J401 H338:J339 H369:J371 H347:J347 H395:J398">
    <cfRule type="colorScale" priority="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43:J244 H268:J268 H308:J322 H246:J261 H270:J270 H303:J303 H264:J266 H279:J281 H272:J277 H305:J305 H283:J300">
    <cfRule type="colorScale" priority="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4:J165 H182:J183 H189:J193 H197:J197 H237:J237 H215:J216 H167:J173 H176:J177 H199:J205 H207:J209 H239:J240 H233:J233 H185:J187 H218:J230 H242:J242 H195:J195 H211:J212 H235:J235">
    <cfRule type="colorScale" priority="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3:J86 H116:J116 H124:J125 H132:J137 H93:J107 H109:J109 H118:J118 H111:J112 H127:J127 H89:J91 H120:J121 H129:J130 H153:J160 H114:J114 H146:J151 H162:J162 H139:J144">
    <cfRule type="colorScale" priority="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:J10 H12:J13 H60:J62 H77:J78 H22:J39 H54:J58 H15:J16 H64:J74 H41:J48 H18:J20 H50:J52">
    <cfRule type="colorScale" priority="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:J3">
    <cfRule type="colorScale" priority="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1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:J11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9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9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9:J59"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5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75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5:J75">
    <cfRule type="colorScale" priority="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6:J76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1:J21">
    <cfRule type="colorScale" priority="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:J53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:J14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3:J63">
    <cfRule type="colorScale" priority="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9:J79"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0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0:J40">
    <cfRule type="colorScale" priority="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0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80:J80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:J17"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9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9:J49"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1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81:J81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2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82:J82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5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5:J115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23:J123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31:J131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2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2:J92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8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8:J108"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7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7:J117">
    <cfRule type="colorScale" priority="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0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0:J110"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6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6:J126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7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87:J87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9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9:J119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8:J88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8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8:J128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2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2:J152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3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3:J113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5:J145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61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1:J161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22:J122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38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8:J138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3:J163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9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9:J179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0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0:J180"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8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8:J188"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6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6:J196"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6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36:J236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1:J181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3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13:J213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66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6:J166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4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4:J174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8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8:J198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6:J206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14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14:J214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8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38:J238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5:J175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1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31:J231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84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84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4:J184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2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32:J232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17:J217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41:J241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8:J178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94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4:J194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10:J21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34:J234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7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67:J267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7:J307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5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45:J245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69:J269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1:J301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62:J262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8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78:J278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2:J302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3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63:J263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7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71:J271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4:J304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82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82:J282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0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06:J306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3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63:J363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2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4:J324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40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40:J340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4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48:J348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6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6:J356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72:J372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25:J325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81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81:J381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26:J326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66:J366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8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82:J38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4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43:J343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9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9:J359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5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75:J375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8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83:J383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99:J39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36:J33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44:J344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60:J360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68:J368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00:J400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37:J33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46:J34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94:J39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02:J40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75:M375"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:J40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407"/>
  <sheetViews>
    <sheetView zoomScale="50" zoomScaleNormal="50" workbookViewId="0">
      <pane ySplit="860" activePane="bottomLeft"/>
      <selection activeCell="F1" sqref="F1:F1048576"/>
      <selection pane="bottomLeft" activeCell="H24" sqref="H24"/>
    </sheetView>
  </sheetViews>
  <sheetFormatPr defaultColWidth="24.453125" defaultRowHeight="28.5" customHeight="1" x14ac:dyDescent="0.35"/>
  <cols>
    <col min="1" max="1" width="24.453125" style="7"/>
    <col min="2" max="2" width="11.54296875" style="7" customWidth="1"/>
    <col min="3" max="3" width="22.54296875" style="7" customWidth="1"/>
    <col min="4" max="4" width="24.453125" style="7"/>
    <col min="5" max="5" width="27.54296875" style="7" customWidth="1"/>
    <col min="6" max="6" width="38.453125" style="7" customWidth="1"/>
    <col min="7" max="7" width="38.453125" style="220" customWidth="1"/>
    <col min="8" max="8" width="9.453125" style="23" customWidth="1"/>
    <col min="9" max="9" width="10.1796875" style="23" customWidth="1"/>
    <col min="10" max="10" width="8.1796875" style="23" customWidth="1"/>
    <col min="11" max="11" width="10.453125" style="91" customWidth="1"/>
    <col min="12" max="12" width="10.54296875" style="91" customWidth="1"/>
    <col min="13" max="13" width="11.453125" style="91" customWidth="1"/>
    <col min="14" max="14" width="26.54296875" style="186" customWidth="1"/>
    <col min="15" max="15" width="18.453125" style="186" customWidth="1"/>
    <col min="16" max="16" width="29.54296875" style="187" customWidth="1"/>
    <col min="17" max="17" width="27.54296875" style="322" customWidth="1"/>
    <col min="18" max="18" width="44.54296875" style="187" customWidth="1"/>
    <col min="19" max="19" width="58.453125" style="187" customWidth="1"/>
    <col min="20" max="20" width="62.453125" style="23" customWidth="1"/>
    <col min="21" max="30" width="24.453125" style="23"/>
    <col min="31" max="31" width="24.453125" style="8"/>
    <col min="32" max="16384" width="24.453125" style="2"/>
  </cols>
  <sheetData>
    <row r="1" spans="1:31" s="3" customFormat="1" ht="28" customHeight="1" x14ac:dyDescent="0.35">
      <c r="A1" s="14" t="s">
        <v>899</v>
      </c>
      <c r="B1" s="96"/>
      <c r="C1" s="96"/>
      <c r="D1" s="96"/>
      <c r="E1" s="96"/>
      <c r="F1" s="96"/>
      <c r="G1" s="220"/>
      <c r="H1" s="630" t="s">
        <v>989</v>
      </c>
      <c r="I1" s="631"/>
      <c r="J1" s="632"/>
      <c r="K1" s="630" t="s">
        <v>1816</v>
      </c>
      <c r="L1" s="631"/>
      <c r="M1" s="632"/>
      <c r="N1" s="633" t="s">
        <v>1961</v>
      </c>
      <c r="O1" s="634"/>
      <c r="P1" s="310" t="s">
        <v>1964</v>
      </c>
      <c r="Q1" s="226" t="s">
        <v>1969</v>
      </c>
      <c r="R1" s="311" t="s">
        <v>1972</v>
      </c>
      <c r="S1" s="311" t="s">
        <v>1973</v>
      </c>
      <c r="U1" s="23"/>
      <c r="V1" s="23"/>
      <c r="W1" s="23"/>
      <c r="X1" s="23"/>
      <c r="Y1" s="23"/>
      <c r="Z1" s="23"/>
      <c r="AA1" s="23"/>
      <c r="AB1" s="23"/>
      <c r="AC1" s="23"/>
      <c r="AD1" s="23"/>
    </row>
    <row r="2" spans="1:31" s="15" customFormat="1" ht="41.15" customHeight="1" x14ac:dyDescent="0.35">
      <c r="A2" s="92" t="s">
        <v>1</v>
      </c>
      <c r="B2" s="93" t="s">
        <v>2</v>
      </c>
      <c r="C2" s="224" t="s">
        <v>3</v>
      </c>
      <c r="D2" s="94" t="s">
        <v>913</v>
      </c>
      <c r="E2" s="95" t="s">
        <v>4</v>
      </c>
      <c r="F2" s="625" t="s">
        <v>2038</v>
      </c>
      <c r="G2" s="303" t="s">
        <v>5</v>
      </c>
      <c r="H2" s="87" t="s">
        <v>990</v>
      </c>
      <c r="I2" s="87" t="s">
        <v>991</v>
      </c>
      <c r="J2" s="87" t="s">
        <v>992</v>
      </c>
      <c r="K2" s="88" t="s">
        <v>990</v>
      </c>
      <c r="L2" s="87" t="s">
        <v>991</v>
      </c>
      <c r="M2" s="89" t="s">
        <v>1958</v>
      </c>
      <c r="N2" s="183" t="s">
        <v>1960</v>
      </c>
      <c r="O2" s="183" t="s">
        <v>1959</v>
      </c>
      <c r="P2" s="308"/>
      <c r="Q2" s="323"/>
      <c r="R2" s="309"/>
      <c r="S2" s="309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1" ht="28.5" customHeight="1" x14ac:dyDescent="0.35">
      <c r="A3" s="1" t="s">
        <v>9</v>
      </c>
      <c r="B3" s="1" t="s">
        <v>10</v>
      </c>
      <c r="C3" s="222" t="s">
        <v>11</v>
      </c>
      <c r="D3" s="71" t="s">
        <v>918</v>
      </c>
      <c r="E3" s="82" t="s">
        <v>12</v>
      </c>
      <c r="F3" s="623" t="e">
        <f ca="1">_xll.JChemExcel.Functions.JCSYSStructure("63D67CDAD0BD42CB2C23D2BC360700CC")</f>
        <v>#NAME?</v>
      </c>
      <c r="G3" s="282"/>
      <c r="H3" s="16">
        <v>0</v>
      </c>
      <c r="I3" s="17">
        <v>0</v>
      </c>
      <c r="J3" s="18">
        <v>0</v>
      </c>
      <c r="K3" s="19">
        <v>0.18181818181818174</v>
      </c>
      <c r="L3" s="20">
        <v>0.55000000000000004</v>
      </c>
      <c r="M3" s="21">
        <v>0.34545454545454546</v>
      </c>
      <c r="N3" s="30">
        <v>95.663053001651349</v>
      </c>
      <c r="O3" s="227">
        <v>34.003677386006046</v>
      </c>
      <c r="P3" s="239"/>
      <c r="Q3" s="239"/>
      <c r="R3" s="306"/>
      <c r="S3" s="306"/>
      <c r="T3" s="118" t="s">
        <v>900</v>
      </c>
    </row>
    <row r="4" spans="1:31" ht="28.5" customHeight="1" x14ac:dyDescent="0.35">
      <c r="A4" s="1" t="s">
        <v>9</v>
      </c>
      <c r="B4" s="1" t="s">
        <v>13</v>
      </c>
      <c r="C4" s="222" t="s">
        <v>14</v>
      </c>
      <c r="D4" s="71" t="s">
        <v>920</v>
      </c>
      <c r="E4" s="82" t="s">
        <v>15</v>
      </c>
      <c r="F4" s="623" t="e">
        <f ca="1">_xll.JChemExcel.Functions.JCSYSStructure("DA1390A9A976ACB4255A6B58C74FEE16")</f>
        <v>#NAME?</v>
      </c>
      <c r="G4" s="282"/>
      <c r="H4" s="16">
        <v>1</v>
      </c>
      <c r="I4" s="17">
        <v>0</v>
      </c>
      <c r="J4" s="18">
        <v>0</v>
      </c>
      <c r="K4" s="19">
        <v>0.31818181818181829</v>
      </c>
      <c r="L4" s="20">
        <v>0.44999999999999996</v>
      </c>
      <c r="M4" s="21">
        <v>0.5636363636363636</v>
      </c>
      <c r="N4" s="30">
        <v>108.7821437860199</v>
      </c>
      <c r="O4" s="227">
        <v>9.8667925989808847</v>
      </c>
      <c r="P4" s="239"/>
      <c r="Q4" s="239"/>
      <c r="R4" s="306"/>
      <c r="S4" s="306"/>
      <c r="T4" s="229" t="s">
        <v>901</v>
      </c>
      <c r="U4" s="97" t="s">
        <v>902</v>
      </c>
      <c r="V4" s="98" t="s">
        <v>903</v>
      </c>
      <c r="W4" s="98" t="s">
        <v>904</v>
      </c>
      <c r="X4" s="119" t="s">
        <v>905</v>
      </c>
      <c r="Y4" s="99"/>
      <c r="Z4" s="197" t="s">
        <v>906</v>
      </c>
      <c r="AA4" s="97" t="s">
        <v>902</v>
      </c>
      <c r="AB4" s="98" t="s">
        <v>903</v>
      </c>
      <c r="AC4" s="98" t="s">
        <v>904</v>
      </c>
      <c r="AD4" s="119" t="s">
        <v>905</v>
      </c>
      <c r="AE4" s="313" t="s">
        <v>1806</v>
      </c>
    </row>
    <row r="5" spans="1:31" ht="28.5" customHeight="1" x14ac:dyDescent="0.5">
      <c r="A5" s="1" t="s">
        <v>9</v>
      </c>
      <c r="B5" s="1" t="s">
        <v>16</v>
      </c>
      <c r="C5" s="222" t="s">
        <v>17</v>
      </c>
      <c r="D5" s="71" t="s">
        <v>923</v>
      </c>
      <c r="E5" s="82" t="s">
        <v>18</v>
      </c>
      <c r="F5" s="623" t="e">
        <f ca="1">_xll.JChemExcel.Functions.JCSYSStructure("3C1666CBF8A59F107596A9C228414AA3")</f>
        <v>#NAME?</v>
      </c>
      <c r="G5" s="282"/>
      <c r="H5" s="16">
        <v>0</v>
      </c>
      <c r="I5" s="17">
        <v>0</v>
      </c>
      <c r="J5" s="18">
        <v>0</v>
      </c>
      <c r="K5" s="19">
        <v>0.18181818181818174</v>
      </c>
      <c r="L5" s="20">
        <v>0.15</v>
      </c>
      <c r="M5" s="21">
        <v>0.18181818181818302</v>
      </c>
      <c r="N5" s="30">
        <v>93.73970914334744</v>
      </c>
      <c r="O5" s="227">
        <v>46.350745793056035</v>
      </c>
      <c r="P5" s="239"/>
      <c r="Q5" s="239"/>
      <c r="R5" s="306"/>
      <c r="S5" s="306"/>
      <c r="T5" s="230" t="s">
        <v>907</v>
      </c>
      <c r="U5" s="315">
        <f>COUNTIFS($H$3:$H$402,"&gt;=2",$K$3:$K$402,"&lt;0.5")</f>
        <v>44</v>
      </c>
      <c r="V5" s="315">
        <f>COUNTIFS($H$3:$H$402,"&lt;2",$K$3:$K$402,"&gt;=0.5")</f>
        <v>7</v>
      </c>
      <c r="W5" s="315">
        <f>COUNTIFS($H$3:$H$402,"&gt;=2",$K$3:$K$402,"&gt;=0.5")</f>
        <v>29</v>
      </c>
      <c r="X5" s="101"/>
      <c r="Y5" s="22"/>
      <c r="Z5" s="100" t="s">
        <v>907</v>
      </c>
      <c r="AA5" s="315">
        <f>COUNTIFS($I$3:$I$402,"&gt;=2",$L$3:$L$402,"&lt;0.5")</f>
        <v>31</v>
      </c>
      <c r="AB5" s="315">
        <f>COUNTIFS($I$3:$I$402,"&lt;2",$L$3:$L$402,"&gt;=0.5")</f>
        <v>21</v>
      </c>
      <c r="AC5" s="315">
        <f>COUNTIFS($I$3:$I$402,"&gt;=2",$L$3:$L$402,"&gt;=0.5")</f>
        <v>48</v>
      </c>
      <c r="AD5" s="102"/>
      <c r="AE5" s="314" t="s">
        <v>1976</v>
      </c>
    </row>
    <row r="6" spans="1:31" ht="28.5" customHeight="1" x14ac:dyDescent="0.35">
      <c r="A6" s="4" t="s">
        <v>9</v>
      </c>
      <c r="B6" s="4" t="s">
        <v>19</v>
      </c>
      <c r="C6" s="223" t="s">
        <v>20</v>
      </c>
      <c r="D6" s="72" t="s">
        <v>993</v>
      </c>
      <c r="E6" s="82" t="s">
        <v>21</v>
      </c>
      <c r="F6" s="623" t="e">
        <f ca="1">_xll.JChemExcel.Functions.JCSYSStructure("1EF9BBA8525E6B10F72DAF6417E4BA11")</f>
        <v>#NAME?</v>
      </c>
      <c r="G6" s="282" t="s">
        <v>22</v>
      </c>
      <c r="H6" s="24">
        <v>2</v>
      </c>
      <c r="I6" s="25">
        <v>4</v>
      </c>
      <c r="J6" s="26">
        <v>4</v>
      </c>
      <c r="K6" s="27">
        <v>0.31818181818181829</v>
      </c>
      <c r="L6" s="28">
        <v>0.8</v>
      </c>
      <c r="M6" s="29">
        <v>0.94545454545454544</v>
      </c>
      <c r="N6" s="30">
        <v>7.2266870356711905</v>
      </c>
      <c r="O6" s="227">
        <v>3.6910076203581874</v>
      </c>
      <c r="P6" s="239">
        <v>1</v>
      </c>
      <c r="Q6" s="239"/>
      <c r="R6" s="306"/>
      <c r="S6" s="306"/>
      <c r="T6" s="231" t="s">
        <v>908</v>
      </c>
      <c r="U6" s="315">
        <f>COUNTIFS($H$3:$H$402,"&lt;2",$K$3:$K$402,"&gt;=0.5")</f>
        <v>7</v>
      </c>
      <c r="V6" s="315">
        <f>COUNTIFS($H$3:$H$402,"&gt;=2",$K$3:$K$402,"&lt;0.5")</f>
        <v>44</v>
      </c>
      <c r="W6" s="315">
        <f>COUNTIFS($H$3:$H$402,"&lt;2",$K$3:$K$402,"&lt;0.5")</f>
        <v>320</v>
      </c>
      <c r="X6" s="101">
        <f>SUM(U5:W5,W6)</f>
        <v>400</v>
      </c>
      <c r="Y6" s="22"/>
      <c r="Z6" s="103" t="s">
        <v>908</v>
      </c>
      <c r="AA6" s="315">
        <f>COUNTIFS($I$3:$I$402,"&lt;2",$L$3:$L$402,"&gt;=0.5")</f>
        <v>21</v>
      </c>
      <c r="AB6" s="315">
        <f>COUNTIFS($I$3:$I$402,"&gt;=2",$L$3:$L$402,"&lt;0.5")</f>
        <v>31</v>
      </c>
      <c r="AC6" s="315">
        <f>COUNTIFS($I$3:$I$402,"&lt;2",$L$3:$L$402,"&lt;0.5")</f>
        <v>300</v>
      </c>
      <c r="AD6" s="102">
        <f>SUM(AA5:AC5,AC6)</f>
        <v>400</v>
      </c>
      <c r="AE6" s="313" t="s">
        <v>1974</v>
      </c>
    </row>
    <row r="7" spans="1:31" ht="28.5" customHeight="1" x14ac:dyDescent="0.35">
      <c r="A7" s="1" t="s">
        <v>9</v>
      </c>
      <c r="B7" s="1" t="s">
        <v>23</v>
      </c>
      <c r="C7" s="222" t="s">
        <v>24</v>
      </c>
      <c r="D7" s="71" t="s">
        <v>919</v>
      </c>
      <c r="E7" s="82" t="s">
        <v>25</v>
      </c>
      <c r="F7" s="623" t="e">
        <f ca="1">_xll.JChemExcel.Functions.JCSYSStructure("20B96D31D3DA72E49C07AE6BEE6A3261")</f>
        <v>#NAME?</v>
      </c>
      <c r="G7" s="282"/>
      <c r="H7" s="16">
        <v>1</v>
      </c>
      <c r="I7" s="17">
        <v>0</v>
      </c>
      <c r="J7" s="18">
        <v>0</v>
      </c>
      <c r="K7" s="19">
        <v>0.13636363636363641</v>
      </c>
      <c r="L7" s="20">
        <v>0.15</v>
      </c>
      <c r="M7" s="21">
        <v>0.18181818181818302</v>
      </c>
      <c r="N7" s="30">
        <v>97.100876937622388</v>
      </c>
      <c r="O7" s="227">
        <v>16.952090152905178</v>
      </c>
      <c r="P7" s="239"/>
      <c r="Q7" s="239"/>
      <c r="R7" s="306"/>
      <c r="S7" s="306"/>
      <c r="T7" s="232" t="s">
        <v>910</v>
      </c>
      <c r="U7" s="25">
        <f>U5*100/400</f>
        <v>11</v>
      </c>
      <c r="V7" s="25">
        <f t="shared" ref="V7:W8" si="0">V5*100/400</f>
        <v>1.75</v>
      </c>
      <c r="W7" s="25">
        <f t="shared" si="0"/>
        <v>7.25</v>
      </c>
      <c r="X7" s="115"/>
      <c r="Y7" s="31"/>
      <c r="Z7" s="104" t="s">
        <v>910</v>
      </c>
      <c r="AA7" s="25">
        <f>AA5*100/400</f>
        <v>7.75</v>
      </c>
      <c r="AB7" s="25">
        <f t="shared" ref="AB7:AC8" si="1">AB5*100/400</f>
        <v>5.25</v>
      </c>
      <c r="AC7" s="25">
        <f t="shared" si="1"/>
        <v>12</v>
      </c>
      <c r="AD7" s="102"/>
      <c r="AE7" s="313" t="s">
        <v>1975</v>
      </c>
    </row>
    <row r="8" spans="1:31" ht="28.5" customHeight="1" x14ac:dyDescent="0.35">
      <c r="A8" s="1" t="s">
        <v>9</v>
      </c>
      <c r="B8" s="1" t="s">
        <v>26</v>
      </c>
      <c r="C8" s="222" t="s">
        <v>27</v>
      </c>
      <c r="D8" s="71" t="s">
        <v>916</v>
      </c>
      <c r="E8" s="82" t="s">
        <v>28</v>
      </c>
      <c r="F8" s="623" t="e">
        <f ca="1">_xll.JChemExcel.Functions.JCSYSStructure("2FBFA0B73F37A0B19A114DB3BB14F341")</f>
        <v>#NAME?</v>
      </c>
      <c r="G8" s="282"/>
      <c r="H8" s="16">
        <v>0</v>
      </c>
      <c r="I8" s="17">
        <v>1</v>
      </c>
      <c r="J8" s="18">
        <v>0</v>
      </c>
      <c r="K8" s="19">
        <v>9.0909090909090939E-2</v>
      </c>
      <c r="L8" s="20">
        <v>0.25</v>
      </c>
      <c r="M8" s="21">
        <v>0.23636363636363755</v>
      </c>
      <c r="N8" s="30">
        <v>89.690714743749226</v>
      </c>
      <c r="O8" s="227">
        <v>37.443773441895573</v>
      </c>
      <c r="P8" s="239"/>
      <c r="Q8" s="239"/>
      <c r="R8" s="306"/>
      <c r="S8" s="306"/>
      <c r="T8" s="233" t="s">
        <v>911</v>
      </c>
      <c r="U8" s="321">
        <f>U6*100/400</f>
        <v>1.75</v>
      </c>
      <c r="V8" s="321">
        <f t="shared" si="0"/>
        <v>11</v>
      </c>
      <c r="W8" s="321">
        <f t="shared" si="0"/>
        <v>80</v>
      </c>
      <c r="X8" s="116"/>
      <c r="Y8" s="31"/>
      <c r="Z8" s="105" t="s">
        <v>911</v>
      </c>
      <c r="AA8" s="321">
        <f>AA6*100/400</f>
        <v>5.25</v>
      </c>
      <c r="AB8" s="321">
        <f t="shared" si="1"/>
        <v>7.75</v>
      </c>
      <c r="AC8" s="321">
        <f t="shared" si="1"/>
        <v>75</v>
      </c>
      <c r="AD8" s="106"/>
      <c r="AE8" s="3"/>
    </row>
    <row r="9" spans="1:31" ht="28.5" customHeight="1" x14ac:dyDescent="0.35">
      <c r="A9" s="1" t="s">
        <v>9</v>
      </c>
      <c r="B9" s="1" t="s">
        <v>29</v>
      </c>
      <c r="C9" s="222" t="s">
        <v>30</v>
      </c>
      <c r="D9" s="71" t="s">
        <v>916</v>
      </c>
      <c r="E9" s="82" t="s">
        <v>31</v>
      </c>
      <c r="F9" s="623" t="e">
        <f ca="1">_xll.JChemExcel.Functions.JCSYSStructure("F307460CB0405E42C508E9363A630D73")</f>
        <v>#NAME?</v>
      </c>
      <c r="G9" s="282"/>
      <c r="H9" s="16">
        <v>0</v>
      </c>
      <c r="I9" s="17">
        <v>0</v>
      </c>
      <c r="J9" s="18">
        <v>0</v>
      </c>
      <c r="K9" s="19">
        <v>0.13636363636363641</v>
      </c>
      <c r="L9" s="20">
        <v>0.2</v>
      </c>
      <c r="M9" s="21">
        <v>0.18181818181818302</v>
      </c>
      <c r="N9" s="30">
        <v>76.235930247105443</v>
      </c>
      <c r="O9" s="227">
        <v>21.429252203248787</v>
      </c>
      <c r="P9" s="239"/>
      <c r="Q9" s="239"/>
      <c r="R9" s="306"/>
      <c r="S9" s="306"/>
      <c r="U9" s="31"/>
      <c r="V9" s="31"/>
      <c r="W9" s="31"/>
      <c r="X9" s="11"/>
      <c r="Y9" s="31"/>
      <c r="Z9" s="31"/>
      <c r="AA9" s="31"/>
      <c r="AE9" s="3"/>
    </row>
    <row r="10" spans="1:31" ht="28.5" customHeight="1" x14ac:dyDescent="0.35">
      <c r="A10" s="1" t="s">
        <v>9</v>
      </c>
      <c r="B10" s="1" t="s">
        <v>32</v>
      </c>
      <c r="C10" s="222" t="s">
        <v>33</v>
      </c>
      <c r="D10" s="71" t="s">
        <v>916</v>
      </c>
      <c r="E10" s="82" t="s">
        <v>34</v>
      </c>
      <c r="F10" s="623" t="e">
        <f ca="1">_xll.JChemExcel.Functions.JCSYSStructure("FBA0711D892B4B1B8BECAC997533FFE0")</f>
        <v>#NAME?</v>
      </c>
      <c r="G10" s="282"/>
      <c r="H10" s="16">
        <v>2</v>
      </c>
      <c r="I10" s="17">
        <v>4</v>
      </c>
      <c r="J10" s="18">
        <v>4</v>
      </c>
      <c r="K10" s="32">
        <v>0</v>
      </c>
      <c r="L10" s="33">
        <v>0</v>
      </c>
      <c r="M10" s="34">
        <v>0</v>
      </c>
      <c r="N10" s="42">
        <v>-3.4043055342623143</v>
      </c>
      <c r="O10" s="227">
        <v>1.2987613358157533</v>
      </c>
      <c r="P10" s="239"/>
      <c r="Q10" s="239"/>
      <c r="R10" s="306"/>
      <c r="S10" s="306"/>
      <c r="T10" s="107"/>
      <c r="U10" s="107"/>
      <c r="V10" s="107"/>
      <c r="W10" s="107"/>
      <c r="X10" s="107"/>
      <c r="Y10" s="107"/>
      <c r="Z10" s="107"/>
      <c r="AA10" s="107"/>
      <c r="AB10" s="108"/>
      <c r="AE10" s="3"/>
    </row>
    <row r="11" spans="1:31" ht="28.5" customHeight="1" x14ac:dyDescent="0.35">
      <c r="A11" s="1" t="s">
        <v>9</v>
      </c>
      <c r="B11" s="1" t="s">
        <v>35</v>
      </c>
      <c r="C11" s="222" t="s">
        <v>36</v>
      </c>
      <c r="D11" s="71" t="s">
        <v>916</v>
      </c>
      <c r="E11" s="82" t="s">
        <v>37</v>
      </c>
      <c r="F11" s="623" t="e">
        <f ca="1">_xll.JChemExcel.Functions.JCSYSStructure("FE9D47FE66302A20B58D719050A9C572")</f>
        <v>#NAME?</v>
      </c>
      <c r="G11" s="282"/>
      <c r="H11" s="16">
        <v>0</v>
      </c>
      <c r="I11" s="17">
        <v>0</v>
      </c>
      <c r="J11" s="18">
        <v>0</v>
      </c>
      <c r="K11" s="19">
        <v>9.0909090909090939E-2</v>
      </c>
      <c r="L11" s="20">
        <v>0.25</v>
      </c>
      <c r="M11" s="21">
        <v>0.23636363636363755</v>
      </c>
      <c r="N11" s="30">
        <v>105.64872714203432</v>
      </c>
      <c r="O11" s="227">
        <v>34.899998709784356</v>
      </c>
      <c r="P11" s="239"/>
      <c r="Q11" s="239"/>
      <c r="R11" s="306"/>
      <c r="S11" s="306"/>
      <c r="T11" s="234" t="s">
        <v>912</v>
      </c>
      <c r="U11" s="109" t="s">
        <v>902</v>
      </c>
      <c r="V11" s="109" t="s">
        <v>903</v>
      </c>
      <c r="W11" s="109" t="s">
        <v>1809</v>
      </c>
      <c r="X11" s="109" t="s">
        <v>904</v>
      </c>
      <c r="Y11" s="109" t="s">
        <v>1812</v>
      </c>
      <c r="Z11" s="109" t="s">
        <v>1811</v>
      </c>
      <c r="AA11" s="109" t="s">
        <v>1810</v>
      </c>
      <c r="AB11" s="110" t="s">
        <v>905</v>
      </c>
      <c r="AE11" s="3"/>
    </row>
    <row r="12" spans="1:31" ht="28.5" customHeight="1" x14ac:dyDescent="0.35">
      <c r="A12" s="1" t="s">
        <v>9</v>
      </c>
      <c r="B12" s="1" t="s">
        <v>38</v>
      </c>
      <c r="C12" s="222" t="s">
        <v>39</v>
      </c>
      <c r="D12" s="71" t="s">
        <v>916</v>
      </c>
      <c r="E12" s="82" t="s">
        <v>40</v>
      </c>
      <c r="F12" s="623" t="e">
        <f ca="1">_xll.JChemExcel.Functions.JCSYSStructure("2AFBA3AD08B1AA5162E246FB0BE8B806")</f>
        <v>#NAME?</v>
      </c>
      <c r="G12" s="282"/>
      <c r="H12" s="16">
        <v>0</v>
      </c>
      <c r="I12" s="17">
        <v>0</v>
      </c>
      <c r="J12" s="18">
        <v>1</v>
      </c>
      <c r="K12" s="19">
        <v>1</v>
      </c>
      <c r="L12" s="20">
        <v>1</v>
      </c>
      <c r="M12" s="21">
        <v>1</v>
      </c>
      <c r="N12" s="30">
        <v>-7.6098549262443136</v>
      </c>
      <c r="O12" s="227">
        <v>0.54982304471089227</v>
      </c>
      <c r="P12" s="239"/>
      <c r="Q12" s="239"/>
      <c r="R12" s="306"/>
      <c r="S12" s="306"/>
      <c r="T12" s="235" t="s">
        <v>907</v>
      </c>
      <c r="U12" s="17">
        <f>COUNTIFS($J$3:$J$402,"&gt;=2",$M$3:$M$402,"&lt;0.5",$N$3:$N$402,"&gt;50")</f>
        <v>12</v>
      </c>
      <c r="V12" s="17">
        <f>COUNTIFS($J$3:$J$402,"&lt;2",$M$3:$M$402,"&gt;=0.5",$N$3:$N$402,"&gt;50")</f>
        <v>29</v>
      </c>
      <c r="W12" s="17">
        <f>COUNTIFS($J$3:$J$402,"&lt;2",$M$3:$M$402,"&lt;0.5",$N$3:$N$402,"&lt;=50")</f>
        <v>19</v>
      </c>
      <c r="X12" s="17">
        <f>COUNTIFS($J$3:$J$402,"&gt;=2",$M$3:$M$402,"&gt;=0.5",$N$3:$N$402,"&gt;50")</f>
        <v>33</v>
      </c>
      <c r="Y12" s="17">
        <f>COUNTIFS($J$3:$J$402,"&gt;=2",$M$3:$M$402,"&lt;0.5",$N$3:$N$402,"&lt;=50")</f>
        <v>6</v>
      </c>
      <c r="Z12" s="17">
        <f>COUNTIFS($J$3:$J$402,"&lt;2",$M$3:$M$402,"&gt;=0.5",$N$3:$N$402,"&lt;=50")</f>
        <v>6</v>
      </c>
      <c r="AA12" s="17">
        <f>COUNTIFS($J$3:$J$402,"&gt;=2",$M$3:$M$402,"&gt;=0.5",$N$3:$N$402,"&lt;=50")</f>
        <v>35</v>
      </c>
      <c r="AB12" s="102"/>
      <c r="AE12" s="3"/>
    </row>
    <row r="13" spans="1:31" ht="28.5" customHeight="1" x14ac:dyDescent="0.35">
      <c r="A13" s="1" t="s">
        <v>9</v>
      </c>
      <c r="B13" s="1" t="s">
        <v>41</v>
      </c>
      <c r="C13" s="222" t="s">
        <v>42</v>
      </c>
      <c r="D13" s="71" t="s">
        <v>937</v>
      </c>
      <c r="E13" s="82" t="s">
        <v>43</v>
      </c>
      <c r="F13" s="623" t="e">
        <f ca="1">_xll.JChemExcel.Functions.JCSYSStructure("0CF5D94906349A94F0C274FA29968CE3")</f>
        <v>#NAME?</v>
      </c>
      <c r="G13" s="282"/>
      <c r="H13" s="16">
        <v>0</v>
      </c>
      <c r="I13" s="17">
        <v>0</v>
      </c>
      <c r="J13" s="18">
        <v>0</v>
      </c>
      <c r="K13" s="19">
        <v>0.18181818181818174</v>
      </c>
      <c r="L13" s="20">
        <v>0.2</v>
      </c>
      <c r="M13" s="21">
        <v>0.12727272727272848</v>
      </c>
      <c r="N13" s="30">
        <v>95.731005644723126</v>
      </c>
      <c r="O13" s="227">
        <v>30.249299050313702</v>
      </c>
      <c r="P13" s="239"/>
      <c r="Q13" s="239"/>
      <c r="R13" s="306"/>
      <c r="S13" s="306"/>
      <c r="T13" s="235" t="s">
        <v>908</v>
      </c>
      <c r="U13" s="17">
        <f>COUNTIFS($J$3:$J$402,"&lt;2",$M$3:$M$402,"&gt;=0.5",$N$3:$N$402,"&lt;=50")</f>
        <v>6</v>
      </c>
      <c r="V13" s="17">
        <f>COUNTIFS($J$3:$J$402,"&gt;=2",$M$3:$M$402,"&lt;0.5",$N$3:$N$402,"&lt;=50")</f>
        <v>6</v>
      </c>
      <c r="W13" s="17">
        <f>COUNTIFS($J$3:$J$402,"&gt;=2",$M$3:$M$402,"&gt;=0.5",$N$3:$N$402,"&gt;50")</f>
        <v>33</v>
      </c>
      <c r="X13" s="17">
        <f>COUNTIFS($J$3:$J$402,"&lt;2",$M$3:$M$402,"&lt;0.5",$N$3:$N$402,"&lt;=50")</f>
        <v>19</v>
      </c>
      <c r="Y13" s="17">
        <f>COUNTIFS($J$3:$J$402,"&lt;2",$M$3:$M$402,"&gt;=0.5",$N$3:$N$402,"&gt;50")</f>
        <v>29</v>
      </c>
      <c r="Z13" s="17">
        <f>COUNTIFS($J$3:$J$402,"&gt;=2",$M$3:$M$402,"&lt;0.5",$N$3:$N$402,"&gt;50")</f>
        <v>12</v>
      </c>
      <c r="AA13" s="17">
        <f>COUNTIFS($J$3:$J$402,"&lt;2",$M$3:$M$402,"&lt;0.5",$N$3:$N$402,"&gt;50")</f>
        <v>260</v>
      </c>
      <c r="AB13" s="102">
        <f>SUM(U12:AA12,AA13)</f>
        <v>400</v>
      </c>
      <c r="AE13" s="3"/>
    </row>
    <row r="14" spans="1:31" ht="28.5" customHeight="1" x14ac:dyDescent="0.35">
      <c r="A14" s="1" t="s">
        <v>9</v>
      </c>
      <c r="B14" s="1" t="s">
        <v>44</v>
      </c>
      <c r="C14" s="222" t="s">
        <v>45</v>
      </c>
      <c r="D14" s="71" t="s">
        <v>918</v>
      </c>
      <c r="E14" s="82" t="s">
        <v>46</v>
      </c>
      <c r="F14" s="623" t="e">
        <f ca="1">_xll.JChemExcel.Functions.JCSYSStructure("68DB672E094B0E11D1B898B9215C4DCA")</f>
        <v>#NAME?</v>
      </c>
      <c r="G14" s="282"/>
      <c r="H14" s="16">
        <v>0</v>
      </c>
      <c r="I14" s="17">
        <v>0</v>
      </c>
      <c r="J14" s="18">
        <v>0</v>
      </c>
      <c r="K14" s="19">
        <v>0.18181818181818174</v>
      </c>
      <c r="L14" s="20">
        <v>0.2</v>
      </c>
      <c r="M14" s="21">
        <v>0.12727272727272848</v>
      </c>
      <c r="N14" s="30">
        <v>93.321658358769383</v>
      </c>
      <c r="O14" s="227">
        <v>22.489253311041889</v>
      </c>
      <c r="P14" s="239"/>
      <c r="Q14" s="239"/>
      <c r="R14" s="306"/>
      <c r="S14" s="306"/>
      <c r="T14" s="236" t="s">
        <v>910</v>
      </c>
      <c r="U14" s="17">
        <f>U12*100/400</f>
        <v>3</v>
      </c>
      <c r="V14" s="17">
        <f t="shared" ref="V14:AA15" si="2">V12*100/400</f>
        <v>7.25</v>
      </c>
      <c r="W14" s="17">
        <f t="shared" si="2"/>
        <v>4.75</v>
      </c>
      <c r="X14" s="17">
        <f t="shared" si="2"/>
        <v>8.25</v>
      </c>
      <c r="Y14" s="17">
        <f t="shared" si="2"/>
        <v>1.5</v>
      </c>
      <c r="Z14" s="17">
        <f t="shared" si="2"/>
        <v>1.5</v>
      </c>
      <c r="AA14" s="17">
        <f t="shared" si="2"/>
        <v>8.75</v>
      </c>
      <c r="AB14" s="102"/>
      <c r="AE14" s="3"/>
    </row>
    <row r="15" spans="1:31" ht="28.5" customHeight="1" x14ac:dyDescent="0.35">
      <c r="A15" s="1" t="s">
        <v>9</v>
      </c>
      <c r="B15" s="1" t="s">
        <v>47</v>
      </c>
      <c r="C15" s="222" t="s">
        <v>48</v>
      </c>
      <c r="D15" s="71" t="s">
        <v>916</v>
      </c>
      <c r="E15" s="82" t="s">
        <v>49</v>
      </c>
      <c r="F15" s="623" t="e">
        <f ca="1">_xll.JChemExcel.Functions.JCSYSStructure("66F5D666B9A4CB3A882B9A4397918C90")</f>
        <v>#NAME?</v>
      </c>
      <c r="G15" s="282"/>
      <c r="H15" s="16">
        <v>0</v>
      </c>
      <c r="I15" s="17">
        <v>1</v>
      </c>
      <c r="J15" s="18">
        <v>0</v>
      </c>
      <c r="K15" s="19">
        <v>0.13636363636363641</v>
      </c>
      <c r="L15" s="20">
        <v>0.2</v>
      </c>
      <c r="M15" s="21">
        <v>0.12727272727272848</v>
      </c>
      <c r="N15" s="30">
        <v>83.854886153636627</v>
      </c>
      <c r="O15" s="227">
        <v>52.628356976738772</v>
      </c>
      <c r="P15" s="239"/>
      <c r="Q15" s="239"/>
      <c r="R15" s="306"/>
      <c r="S15" s="306"/>
      <c r="T15" s="237" t="s">
        <v>911</v>
      </c>
      <c r="U15" s="36">
        <f>U13*100/400</f>
        <v>1.5</v>
      </c>
      <c r="V15" s="36">
        <f t="shared" si="2"/>
        <v>1.5</v>
      </c>
      <c r="W15" s="36">
        <f t="shared" si="2"/>
        <v>8.25</v>
      </c>
      <c r="X15" s="36">
        <f t="shared" si="2"/>
        <v>4.75</v>
      </c>
      <c r="Y15" s="36">
        <f t="shared" si="2"/>
        <v>7.25</v>
      </c>
      <c r="Z15" s="36">
        <f t="shared" si="2"/>
        <v>3</v>
      </c>
      <c r="AA15" s="36">
        <f t="shared" si="2"/>
        <v>65</v>
      </c>
      <c r="AB15" s="106"/>
      <c r="AE15" s="3"/>
    </row>
    <row r="16" spans="1:31" ht="28.5" customHeight="1" x14ac:dyDescent="0.35">
      <c r="A16" s="1" t="s">
        <v>9</v>
      </c>
      <c r="B16" s="1" t="s">
        <v>50</v>
      </c>
      <c r="C16" s="222" t="s">
        <v>51</v>
      </c>
      <c r="D16" s="71" t="s">
        <v>919</v>
      </c>
      <c r="E16" s="82" t="s">
        <v>52</v>
      </c>
      <c r="F16" s="623" t="e">
        <f ca="1">_xll.JChemExcel.Functions.JCSYSStructure("3B997F79075C277115454B1638D9EDB1")</f>
        <v>#NAME?</v>
      </c>
      <c r="G16" s="282"/>
      <c r="H16" s="16">
        <v>0</v>
      </c>
      <c r="I16" s="17">
        <v>0</v>
      </c>
      <c r="J16" s="18">
        <v>0</v>
      </c>
      <c r="K16" s="19">
        <v>0.13636363636363641</v>
      </c>
      <c r="L16" s="20">
        <v>0.2</v>
      </c>
      <c r="M16" s="21">
        <v>0.12727272727272848</v>
      </c>
      <c r="N16" s="30">
        <v>100.77948611846163</v>
      </c>
      <c r="O16" s="227">
        <v>11.942292147442453</v>
      </c>
      <c r="P16" s="239"/>
      <c r="Q16" s="239"/>
      <c r="R16" s="306"/>
      <c r="S16" s="306"/>
      <c r="AE16" s="3"/>
    </row>
    <row r="17" spans="1:31" ht="28.5" customHeight="1" x14ac:dyDescent="0.35">
      <c r="A17" s="1" t="s">
        <v>9</v>
      </c>
      <c r="B17" s="1" t="s">
        <v>53</v>
      </c>
      <c r="C17" s="222" t="s">
        <v>54</v>
      </c>
      <c r="D17" s="71" t="s">
        <v>919</v>
      </c>
      <c r="E17" s="82" t="s">
        <v>55</v>
      </c>
      <c r="F17" s="623" t="e">
        <f ca="1">_xll.JChemExcel.Functions.JCSYSStructure("3766CA0E3432AEF15C566D551059FBA6")</f>
        <v>#NAME?</v>
      </c>
      <c r="G17" s="282" t="s">
        <v>933</v>
      </c>
      <c r="H17" s="16">
        <v>1</v>
      </c>
      <c r="I17" s="17">
        <v>1</v>
      </c>
      <c r="J17" s="18">
        <v>2</v>
      </c>
      <c r="K17" s="19">
        <v>0.36363636363636365</v>
      </c>
      <c r="L17" s="20">
        <v>0.55000000000000004</v>
      </c>
      <c r="M17" s="21">
        <v>0.45454545454545536</v>
      </c>
      <c r="N17" s="30">
        <v>72.791438369894081</v>
      </c>
      <c r="O17" s="227">
        <v>36.312630746515865</v>
      </c>
      <c r="P17" s="239"/>
      <c r="Q17" s="239"/>
      <c r="R17" s="306"/>
      <c r="S17" s="306"/>
      <c r="AE17" s="3"/>
    </row>
    <row r="18" spans="1:31" ht="28.5" customHeight="1" x14ac:dyDescent="0.35">
      <c r="A18" s="1" t="s">
        <v>9</v>
      </c>
      <c r="B18" s="1" t="s">
        <v>56</v>
      </c>
      <c r="C18" s="222" t="s">
        <v>57</v>
      </c>
      <c r="D18" s="71" t="s">
        <v>916</v>
      </c>
      <c r="E18" s="82" t="s">
        <v>58</v>
      </c>
      <c r="F18" s="623" t="e">
        <f ca="1">_xll.JChemExcel.Functions.JCSYSStructure("8F64EEF9CD7413D7D7EB8304193AD733")</f>
        <v>#NAME?</v>
      </c>
      <c r="G18" s="282"/>
      <c r="H18" s="16">
        <v>0</v>
      </c>
      <c r="I18" s="17">
        <v>0</v>
      </c>
      <c r="J18" s="18">
        <v>0</v>
      </c>
      <c r="K18" s="19">
        <v>9.0909090909090939E-2</v>
      </c>
      <c r="L18" s="20">
        <v>0.25</v>
      </c>
      <c r="M18" s="21">
        <v>0.23636363636363755</v>
      </c>
      <c r="N18" s="30">
        <v>89.634406520391536</v>
      </c>
      <c r="O18" s="227">
        <v>35.020372441283506</v>
      </c>
      <c r="P18" s="239"/>
      <c r="Q18" s="239"/>
      <c r="R18" s="306"/>
      <c r="S18" s="306"/>
    </row>
    <row r="19" spans="1:31" ht="28.5" customHeight="1" x14ac:dyDescent="0.35">
      <c r="A19" s="1" t="s">
        <v>9</v>
      </c>
      <c r="B19" s="1" t="s">
        <v>59</v>
      </c>
      <c r="C19" s="222" t="s">
        <v>60</v>
      </c>
      <c r="D19" s="71" t="s">
        <v>916</v>
      </c>
      <c r="E19" s="82" t="s">
        <v>61</v>
      </c>
      <c r="F19" s="623" t="e">
        <f ca="1">_xll.JChemExcel.Functions.JCSYSStructure("56B0AC4DF005FFDE88D82148836F1DC7")</f>
        <v>#NAME?</v>
      </c>
      <c r="G19" s="282"/>
      <c r="H19" s="16">
        <v>1</v>
      </c>
      <c r="I19" s="17">
        <v>0</v>
      </c>
      <c r="J19" s="18">
        <v>0</v>
      </c>
      <c r="K19" s="19">
        <v>0.13636363636363641</v>
      </c>
      <c r="L19" s="20">
        <v>0.25</v>
      </c>
      <c r="M19" s="21">
        <v>0.29090909090909206</v>
      </c>
      <c r="N19" s="30">
        <v>79.965690261256057</v>
      </c>
      <c r="O19" s="227">
        <v>43.110313431922918</v>
      </c>
      <c r="P19" s="239"/>
      <c r="Q19" s="239"/>
      <c r="R19" s="306"/>
      <c r="S19" s="306"/>
      <c r="T19" s="114" t="s">
        <v>1817</v>
      </c>
    </row>
    <row r="20" spans="1:31" ht="28.5" customHeight="1" x14ac:dyDescent="0.35">
      <c r="A20" s="1" t="s">
        <v>9</v>
      </c>
      <c r="B20" s="1" t="s">
        <v>62</v>
      </c>
      <c r="C20" s="222" t="s">
        <v>63</v>
      </c>
      <c r="D20" s="71" t="s">
        <v>916</v>
      </c>
      <c r="E20" s="82" t="s">
        <v>64</v>
      </c>
      <c r="F20" s="623" t="e">
        <f ca="1">_xll.JChemExcel.Functions.JCSYSStructure("128740AF4DB186DF396F3C9453078E21")</f>
        <v>#NAME?</v>
      </c>
      <c r="G20" s="282"/>
      <c r="H20" s="16">
        <v>3</v>
      </c>
      <c r="I20" s="17">
        <v>2</v>
      </c>
      <c r="J20" s="18">
        <v>4</v>
      </c>
      <c r="K20" s="19">
        <v>1</v>
      </c>
      <c r="L20" s="20">
        <v>1</v>
      </c>
      <c r="M20" s="21">
        <v>1</v>
      </c>
      <c r="N20" s="319">
        <v>99.482653682288486</v>
      </c>
      <c r="O20" s="227">
        <v>5.0337374203484551</v>
      </c>
      <c r="P20" s="239"/>
      <c r="Q20" s="239"/>
      <c r="R20" s="306"/>
      <c r="S20" s="306"/>
      <c r="T20" s="229" t="s">
        <v>901</v>
      </c>
      <c r="U20" s="97" t="s">
        <v>902</v>
      </c>
      <c r="V20" s="316" t="s">
        <v>903</v>
      </c>
      <c r="W20" s="316" t="s">
        <v>904</v>
      </c>
      <c r="X20" s="119" t="s">
        <v>905</v>
      </c>
      <c r="Y20" s="99"/>
      <c r="Z20" s="197" t="s">
        <v>906</v>
      </c>
      <c r="AA20" s="97" t="s">
        <v>902</v>
      </c>
      <c r="AB20" s="316" t="s">
        <v>903</v>
      </c>
      <c r="AC20" s="98" t="s">
        <v>904</v>
      </c>
      <c r="AD20" s="119" t="s">
        <v>905</v>
      </c>
      <c r="AE20" s="313" t="s">
        <v>1806</v>
      </c>
    </row>
    <row r="21" spans="1:31" ht="28.5" customHeight="1" x14ac:dyDescent="0.5">
      <c r="A21" s="4" t="s">
        <v>9</v>
      </c>
      <c r="B21" s="4" t="s">
        <v>65</v>
      </c>
      <c r="C21" s="223" t="s">
        <v>66</v>
      </c>
      <c r="D21" s="71" t="s">
        <v>916</v>
      </c>
      <c r="E21" s="82" t="s">
        <v>67</v>
      </c>
      <c r="F21" s="623" t="e">
        <f ca="1">_xll.JChemExcel.Functions.JCSYSStructure("A6F6C84EEEE0293861F691BECC2C98AA")</f>
        <v>#NAME?</v>
      </c>
      <c r="G21" s="282"/>
      <c r="H21" s="24">
        <v>0</v>
      </c>
      <c r="I21" s="25">
        <v>4</v>
      </c>
      <c r="J21" s="26">
        <v>4</v>
      </c>
      <c r="K21" s="27">
        <v>9.0909090909090939E-2</v>
      </c>
      <c r="L21" s="28">
        <v>0.25</v>
      </c>
      <c r="M21" s="29">
        <v>0.94545454545454544</v>
      </c>
      <c r="N21" s="30">
        <v>-9.9835436950806073</v>
      </c>
      <c r="O21" s="227">
        <v>3.7393138124899865</v>
      </c>
      <c r="P21" s="239">
        <v>1</v>
      </c>
      <c r="Q21" s="239"/>
      <c r="R21" s="306"/>
      <c r="S21" s="306"/>
      <c r="T21" s="238" t="s">
        <v>907</v>
      </c>
      <c r="U21" s="315">
        <f>COUNTIFS($H$3:$H$402,"&gt;=3",$K$3:$K$402,"&lt;0.75")</f>
        <v>20</v>
      </c>
      <c r="V21" s="315">
        <f>COUNTIFS($H$3:$H$402,"&lt;3",$K$3:$K$402,"&gt;=0.75")</f>
        <v>10</v>
      </c>
      <c r="W21" s="315">
        <f>COUNTIFS($H$3:$H$402,"&gt;=3",$K$3:$K$402,"&gt;=0.75")</f>
        <v>16</v>
      </c>
      <c r="X21" s="101"/>
      <c r="Y21" s="22"/>
      <c r="Z21" s="117" t="s">
        <v>907</v>
      </c>
      <c r="AA21" s="315">
        <f>COUNTIFS($I$3:$I$402,"&gt;=3",$L$3:$L$402,"&lt;0.75")</f>
        <v>30</v>
      </c>
      <c r="AB21" s="315">
        <f>COUNTIFS($I$3:$I$402,"&lt;3",$L$3:$L$402,"&gt;=0.75")</f>
        <v>10</v>
      </c>
      <c r="AC21" s="315">
        <f>COUNTIFS($I$3:$I$402,"&gt;=3",$L$3:$L$402,"&gt;=0.75")</f>
        <v>29</v>
      </c>
      <c r="AD21" s="102"/>
      <c r="AE21" s="314" t="s">
        <v>1977</v>
      </c>
    </row>
    <row r="22" spans="1:31" ht="28.5" customHeight="1" x14ac:dyDescent="0.35">
      <c r="A22" s="4" t="s">
        <v>9</v>
      </c>
      <c r="B22" s="4" t="s">
        <v>68</v>
      </c>
      <c r="C22" s="223" t="s">
        <v>69</v>
      </c>
      <c r="D22" s="71" t="s">
        <v>916</v>
      </c>
      <c r="E22" s="82" t="s">
        <v>70</v>
      </c>
      <c r="F22" s="623" t="e">
        <f ca="1">_xll.JChemExcel.Functions.JCSYSStructure("54028EA177110D4E678F3EB8A4519B51")</f>
        <v>#NAME?</v>
      </c>
      <c r="G22" s="282"/>
      <c r="H22" s="24">
        <v>0</v>
      </c>
      <c r="I22" s="25">
        <v>1</v>
      </c>
      <c r="J22" s="26">
        <v>3</v>
      </c>
      <c r="K22" s="27">
        <v>0.27272727272727265</v>
      </c>
      <c r="L22" s="28">
        <v>0.95</v>
      </c>
      <c r="M22" s="29">
        <v>1</v>
      </c>
      <c r="N22" s="30">
        <v>-1.1284661539227101</v>
      </c>
      <c r="O22" s="227">
        <v>3.939661287022985</v>
      </c>
      <c r="P22" s="239">
        <v>1</v>
      </c>
      <c r="Q22" s="239"/>
      <c r="R22" s="306"/>
      <c r="S22" s="306"/>
      <c r="T22" s="235" t="s">
        <v>908</v>
      </c>
      <c r="U22" s="315">
        <f>COUNTIFS($H$3:$H$402,"&lt;3",$K$3:$K$402,"&gt;=0.75")</f>
        <v>10</v>
      </c>
      <c r="V22" s="315">
        <f>COUNTIFS($H$3:$H$402,"&gt;=3",$K$3:$K$402,"&lt;0.75")</f>
        <v>20</v>
      </c>
      <c r="W22" s="315">
        <f>COUNTIFS($H$3:$H$402,"&lt;3",$K$3:$K$402,"&lt;0.75")</f>
        <v>354</v>
      </c>
      <c r="X22" s="101">
        <f>SUM(U21:W21,W22)</f>
        <v>400</v>
      </c>
      <c r="Y22" s="22"/>
      <c r="Z22" s="111" t="s">
        <v>908</v>
      </c>
      <c r="AA22" s="315">
        <f>COUNTIFS($I$3:$I$402,"&lt;3",$L$3:$L$402,"&gt;=0.75")</f>
        <v>10</v>
      </c>
      <c r="AB22" s="315">
        <f>COUNTIFS($I$3:$I$402,"&gt;=3",$L$3:$L$402,"&lt;0.75")</f>
        <v>30</v>
      </c>
      <c r="AC22" s="315">
        <f>COUNTIFS($I$3:$I$402,"&lt;3",$L$3:$L$402,"&lt;0.75")</f>
        <v>331</v>
      </c>
      <c r="AD22" s="102">
        <f>SUM(AA21:AC21,AC22)</f>
        <v>400</v>
      </c>
      <c r="AE22" s="313" t="s">
        <v>1807</v>
      </c>
    </row>
    <row r="23" spans="1:31" ht="28.5" customHeight="1" x14ac:dyDescent="0.35">
      <c r="A23" s="1" t="s">
        <v>9</v>
      </c>
      <c r="B23" s="1" t="s">
        <v>71</v>
      </c>
      <c r="C23" s="222" t="s">
        <v>72</v>
      </c>
      <c r="D23" s="71" t="s">
        <v>918</v>
      </c>
      <c r="E23" s="82" t="s">
        <v>73</v>
      </c>
      <c r="F23" s="623" t="e">
        <f ca="1">_xll.JChemExcel.Functions.JCSYSStructure("E39506438D674C2F43ECEEE55F303C06")</f>
        <v>#NAME?</v>
      </c>
      <c r="G23" s="282"/>
      <c r="H23" s="16">
        <v>0</v>
      </c>
      <c r="I23" s="17">
        <v>0</v>
      </c>
      <c r="J23" s="18">
        <v>0</v>
      </c>
      <c r="K23" s="19">
        <v>0.18181818181818174</v>
      </c>
      <c r="L23" s="20">
        <v>0.3</v>
      </c>
      <c r="M23" s="21">
        <v>0.23636363636363755</v>
      </c>
      <c r="N23" s="30">
        <v>87.166111877892362</v>
      </c>
      <c r="O23" s="227">
        <v>35.045330403127977</v>
      </c>
      <c r="P23" s="239"/>
      <c r="Q23" s="239"/>
      <c r="R23" s="306"/>
      <c r="S23" s="306"/>
      <c r="T23" s="236" t="s">
        <v>910</v>
      </c>
      <c r="U23" s="25">
        <f>U21*100/400</f>
        <v>5</v>
      </c>
      <c r="V23" s="25">
        <f t="shared" ref="V23:W23" si="3">V21*100/400</f>
        <v>2.5</v>
      </c>
      <c r="W23" s="25">
        <f t="shared" si="3"/>
        <v>4</v>
      </c>
      <c r="X23" s="115"/>
      <c r="Y23" s="31"/>
      <c r="Z23" s="112" t="s">
        <v>910</v>
      </c>
      <c r="AA23" s="25">
        <f>AA21*100/400</f>
        <v>7.5</v>
      </c>
      <c r="AB23" s="25">
        <f t="shared" ref="AB23:AC23" si="4">AB21*100/400</f>
        <v>2.5</v>
      </c>
      <c r="AC23" s="25">
        <f t="shared" si="4"/>
        <v>7.25</v>
      </c>
      <c r="AD23" s="102"/>
      <c r="AE23" s="313" t="s">
        <v>1808</v>
      </c>
    </row>
    <row r="24" spans="1:31" ht="28.5" customHeight="1" x14ac:dyDescent="0.35">
      <c r="A24" s="1" t="s">
        <v>9</v>
      </c>
      <c r="B24" s="1" t="s">
        <v>74</v>
      </c>
      <c r="C24" s="222" t="s">
        <v>75</v>
      </c>
      <c r="D24" s="71" t="s">
        <v>920</v>
      </c>
      <c r="E24" s="82" t="s">
        <v>76</v>
      </c>
      <c r="F24" s="623" t="e">
        <f ca="1">_xll.JChemExcel.Functions.JCSYSStructure("E823A2C213C5CA0AA7CC533AA59B5F72")</f>
        <v>#NAME?</v>
      </c>
      <c r="G24" s="282"/>
      <c r="H24" s="16">
        <v>1</v>
      </c>
      <c r="I24" s="17">
        <v>0</v>
      </c>
      <c r="J24" s="18">
        <v>0</v>
      </c>
      <c r="K24" s="19">
        <v>0.18181818181818174</v>
      </c>
      <c r="L24" s="20">
        <v>0.2</v>
      </c>
      <c r="M24" s="21">
        <v>0.12727272727272848</v>
      </c>
      <c r="N24" s="30">
        <v>105.55039424822077</v>
      </c>
      <c r="O24" s="227">
        <v>13.667012670527264</v>
      </c>
      <c r="P24" s="239"/>
      <c r="Q24" s="239"/>
      <c r="R24" s="306"/>
      <c r="S24" s="306"/>
      <c r="T24" s="237" t="s">
        <v>911</v>
      </c>
      <c r="U24" s="321">
        <f>U22*100/400</f>
        <v>2.5</v>
      </c>
      <c r="V24" s="321">
        <f t="shared" ref="V24:W24" si="5">V22*100/400</f>
        <v>5</v>
      </c>
      <c r="W24" s="321">
        <f t="shared" si="5"/>
        <v>88.5</v>
      </c>
      <c r="X24" s="116"/>
      <c r="Y24" s="31"/>
      <c r="Z24" s="113" t="s">
        <v>911</v>
      </c>
      <c r="AA24" s="321">
        <f>AA22*100/400</f>
        <v>2.5</v>
      </c>
      <c r="AB24" s="321">
        <f t="shared" ref="AB24:AC24" si="6">AB22*100/400</f>
        <v>7.5</v>
      </c>
      <c r="AC24" s="321">
        <f t="shared" si="6"/>
        <v>82.75</v>
      </c>
      <c r="AD24" s="106"/>
      <c r="AE24" s="283"/>
    </row>
    <row r="25" spans="1:31" ht="28.5" customHeight="1" x14ac:dyDescent="0.35">
      <c r="A25" s="1" t="s">
        <v>9</v>
      </c>
      <c r="B25" s="1" t="s">
        <v>77</v>
      </c>
      <c r="C25" s="222" t="s">
        <v>78</v>
      </c>
      <c r="D25" s="71" t="s">
        <v>916</v>
      </c>
      <c r="E25" s="82" t="s">
        <v>79</v>
      </c>
      <c r="F25" s="623" t="e">
        <f ca="1">_xll.JChemExcel.Functions.JCSYSStructure("44183BA645424B3C0A22BF19CC520E9D")</f>
        <v>#NAME?</v>
      </c>
      <c r="G25" s="282"/>
      <c r="H25" s="16">
        <v>0</v>
      </c>
      <c r="I25" s="17">
        <v>0</v>
      </c>
      <c r="J25" s="18">
        <v>0</v>
      </c>
      <c r="K25" s="19">
        <v>0.18181818181818174</v>
      </c>
      <c r="L25" s="20">
        <v>0.35</v>
      </c>
      <c r="M25" s="21">
        <v>0.34545454545454646</v>
      </c>
      <c r="N25" s="30">
        <v>63.039156275163677</v>
      </c>
      <c r="O25" s="227">
        <v>22.185996980136103</v>
      </c>
      <c r="P25" s="239"/>
      <c r="Q25" s="239"/>
      <c r="R25" s="306"/>
      <c r="S25" s="306"/>
    </row>
    <row r="26" spans="1:31" ht="28.5" customHeight="1" x14ac:dyDescent="0.35">
      <c r="A26" s="1" t="s">
        <v>9</v>
      </c>
      <c r="B26" s="1" t="s">
        <v>80</v>
      </c>
      <c r="C26" s="222" t="s">
        <v>81</v>
      </c>
      <c r="D26" s="71" t="s">
        <v>919</v>
      </c>
      <c r="E26" s="82" t="s">
        <v>82</v>
      </c>
      <c r="F26" s="623" t="e">
        <f ca="1">_xll.JChemExcel.Functions.JCSYSStructure("C3AF58641F0F85BAE4D7CB47D2464869")</f>
        <v>#NAME?</v>
      </c>
      <c r="G26" s="282"/>
      <c r="H26" s="16">
        <v>1</v>
      </c>
      <c r="I26" s="17">
        <v>0</v>
      </c>
      <c r="J26" s="18">
        <v>0</v>
      </c>
      <c r="K26" s="19">
        <v>0.18181818181818174</v>
      </c>
      <c r="L26" s="20">
        <v>0.2</v>
      </c>
      <c r="M26" s="21">
        <v>0.12727272727272848</v>
      </c>
      <c r="N26" s="30">
        <v>3.5064158133636809</v>
      </c>
      <c r="O26" s="227">
        <v>1.4431670773787009</v>
      </c>
      <c r="P26" s="239"/>
      <c r="Q26" s="239">
        <v>1</v>
      </c>
      <c r="R26" s="306"/>
      <c r="S26" s="306"/>
      <c r="T26" s="107"/>
      <c r="U26" s="107"/>
      <c r="V26" s="107"/>
      <c r="W26" s="107"/>
      <c r="X26" s="107"/>
      <c r="Y26" s="107"/>
      <c r="Z26" s="107"/>
      <c r="AA26" s="107"/>
      <c r="AB26" s="108"/>
    </row>
    <row r="27" spans="1:31" ht="28.5" customHeight="1" x14ac:dyDescent="0.35">
      <c r="A27" s="1" t="s">
        <v>9</v>
      </c>
      <c r="B27" s="1" t="s">
        <v>83</v>
      </c>
      <c r="C27" s="222" t="s">
        <v>84</v>
      </c>
      <c r="D27" s="71" t="s">
        <v>919</v>
      </c>
      <c r="E27" s="82" t="s">
        <v>85</v>
      </c>
      <c r="F27" s="623" t="e">
        <f ca="1">_xll.JChemExcel.Functions.JCSYSStructure("49CC9E4CA8A4A31517CC2043497B4D9A")</f>
        <v>#NAME?</v>
      </c>
      <c r="G27" s="282" t="s">
        <v>934</v>
      </c>
      <c r="H27" s="16">
        <v>2</v>
      </c>
      <c r="I27" s="17">
        <v>1</v>
      </c>
      <c r="J27" s="18">
        <v>2</v>
      </c>
      <c r="K27" s="19">
        <v>0.13636363636363641</v>
      </c>
      <c r="L27" s="20">
        <v>0.25</v>
      </c>
      <c r="M27" s="21">
        <v>7.2727272727274084E-2</v>
      </c>
      <c r="N27" s="30">
        <v>47.315019427848</v>
      </c>
      <c r="O27" s="227">
        <v>26.902054589916602</v>
      </c>
      <c r="P27" s="239"/>
      <c r="Q27" s="239"/>
      <c r="R27" s="306"/>
      <c r="S27" s="306"/>
      <c r="T27" s="234" t="s">
        <v>912</v>
      </c>
      <c r="U27" s="109" t="s">
        <v>902</v>
      </c>
      <c r="V27" s="109" t="s">
        <v>903</v>
      </c>
      <c r="W27" s="109" t="s">
        <v>1809</v>
      </c>
      <c r="X27" s="109" t="s">
        <v>904</v>
      </c>
      <c r="Y27" s="109" t="s">
        <v>1812</v>
      </c>
      <c r="Z27" s="109" t="s">
        <v>1811</v>
      </c>
      <c r="AA27" s="109" t="s">
        <v>1810</v>
      </c>
      <c r="AB27" s="110" t="s">
        <v>905</v>
      </c>
    </row>
    <row r="28" spans="1:31" ht="28.5" customHeight="1" x14ac:dyDescent="0.35">
      <c r="A28" s="1" t="s">
        <v>9</v>
      </c>
      <c r="B28" s="1" t="s">
        <v>86</v>
      </c>
      <c r="C28" s="222" t="s">
        <v>87</v>
      </c>
      <c r="D28" s="71" t="s">
        <v>916</v>
      </c>
      <c r="E28" s="82" t="s">
        <v>88</v>
      </c>
      <c r="F28" s="623" t="e">
        <f ca="1">_xll.JChemExcel.Functions.JCSYSStructure("28FE6BD88A8708BFF509CAFCF89AC474")</f>
        <v>#NAME?</v>
      </c>
      <c r="G28" s="282"/>
      <c r="H28" s="16">
        <v>0</v>
      </c>
      <c r="I28" s="17">
        <v>1</v>
      </c>
      <c r="J28" s="18">
        <v>0</v>
      </c>
      <c r="K28" s="19">
        <v>0.18181818181818174</v>
      </c>
      <c r="L28" s="20">
        <v>0.2</v>
      </c>
      <c r="M28" s="21">
        <v>0.12727272727272848</v>
      </c>
      <c r="N28" s="30">
        <v>73.929347987036422</v>
      </c>
      <c r="O28" s="227">
        <v>12.46915871069657</v>
      </c>
      <c r="P28" s="239"/>
      <c r="Q28" s="239"/>
      <c r="R28" s="306"/>
      <c r="S28" s="306"/>
      <c r="T28" s="231" t="s">
        <v>907</v>
      </c>
      <c r="U28" s="17">
        <f>COUNTIFS($J$3:$J$402,"&gt;=3",$M$3:$M$402,"&lt;0.75",$N$3:$N$402,"&gt;0.75")</f>
        <v>29</v>
      </c>
      <c r="V28" s="17">
        <f>COUNTIFS($J$3:$J$402,"&lt;3",$M$3:$M$402,"&gt;=0.75",$N$3:$N$402,"&gt;0.75")</f>
        <v>9</v>
      </c>
      <c r="W28" s="17">
        <f>COUNTIFS($J$3:$J$402,"&lt;3",$M$3:$M$402,"&lt;0.75",$N$3:$N$402,"&lt;=0.75")</f>
        <v>5</v>
      </c>
      <c r="X28" s="17">
        <f>COUNTIFS($J$3:$J$402,"&gt;=3",$M$3:$M$402,"&gt;=0.75",$N$3:$N$402,"&gt;0.75")</f>
        <v>32</v>
      </c>
      <c r="Y28" s="17">
        <f>COUNTIFS($J$3:$J$402,"&gt;=3",$M$3:$M$402,"&lt;0.75",$N$3:$N$402,"&lt;=0.75")</f>
        <v>1</v>
      </c>
      <c r="Z28" s="17">
        <f>COUNTIFS($J$3:$J$402,"&lt;3",$M$3:$M$402,"&gt;=0.75",$N$3:$N$402,"&lt;=0.75")</f>
        <v>1</v>
      </c>
      <c r="AA28" s="17">
        <f>COUNTIFS($J$3:$J$402,"&gt;=3",$M$3:$M$402,"&gt;=0.75",$N$3:$N$402,"&lt;=0.75")</f>
        <v>11</v>
      </c>
      <c r="AB28" s="102"/>
    </row>
    <row r="29" spans="1:31" ht="28.5" customHeight="1" x14ac:dyDescent="0.35">
      <c r="A29" s="1" t="s">
        <v>9</v>
      </c>
      <c r="B29" s="1" t="s">
        <v>89</v>
      </c>
      <c r="C29" s="222" t="s">
        <v>90</v>
      </c>
      <c r="D29" s="71" t="s">
        <v>916</v>
      </c>
      <c r="E29" s="82" t="s">
        <v>91</v>
      </c>
      <c r="F29" s="623" t="e">
        <f ca="1">_xll.JChemExcel.Functions.JCSYSStructure("3DF89D54B16AE2703B6236F289CB8D44")</f>
        <v>#NAME?</v>
      </c>
      <c r="G29" s="282"/>
      <c r="H29" s="16">
        <v>0</v>
      </c>
      <c r="I29" s="17">
        <v>0</v>
      </c>
      <c r="J29" s="18">
        <v>0</v>
      </c>
      <c r="K29" s="19">
        <v>9.0909090909090939E-2</v>
      </c>
      <c r="L29" s="20">
        <v>0.1</v>
      </c>
      <c r="M29" s="21">
        <v>1.8181818181819694E-2</v>
      </c>
      <c r="N29" s="30">
        <v>81.021605435083274</v>
      </c>
      <c r="O29" s="227">
        <v>22.170384008571219</v>
      </c>
      <c r="P29" s="239"/>
      <c r="Q29" s="239"/>
      <c r="R29" s="306"/>
      <c r="S29" s="306"/>
      <c r="T29" s="231" t="s">
        <v>908</v>
      </c>
      <c r="U29" s="17">
        <f>COUNTIFS($J$3:$J$402,"&lt;3",$M$3:$M$402,"&gt;=0.75",$N$3:$N$402,"&lt;=0.75")</f>
        <v>1</v>
      </c>
      <c r="V29" s="17">
        <f>COUNTIFS($J$3:$J$402,"&gt;=3",$M$3:$M$402,"&lt;0.75",$N$3:$N$402,"&lt;=0.75")</f>
        <v>1</v>
      </c>
      <c r="W29" s="17">
        <f>COUNTIFS($J$3:$J$402,"&gt;=3",$M$3:$M$402,"&gt;=0.75",$N$3:$N$402,"&gt;0.75")</f>
        <v>32</v>
      </c>
      <c r="X29" s="17">
        <f>COUNTIFS($J$3:$J$402,"&lt;3",$M$3:$M$402,"&lt;0.75",$N$3:$N$402,"&lt;=0.75")</f>
        <v>5</v>
      </c>
      <c r="Y29" s="17">
        <f>COUNTIFS($J$3:$J$402,"&lt;3",$M$3:$M$402,"&gt;=0.75",$N$3:$N$402,"&gt;0.75")</f>
        <v>9</v>
      </c>
      <c r="Z29" s="17">
        <f>COUNTIFS($J$3:$J$402,"&gt;=3",$M$3:$M$402,"&lt;0.75",$N$3:$N$402,"&gt;0.75")</f>
        <v>29</v>
      </c>
      <c r="AA29" s="17">
        <f>COUNTIFS($J$3:$J$402,"&lt;3",$M$3:$M$402,"&lt;0.75",$N$3:$N$402,"&gt;0.75")</f>
        <v>312</v>
      </c>
      <c r="AB29" s="102">
        <f>SUM(U28:AA28,AA29)</f>
        <v>400</v>
      </c>
    </row>
    <row r="30" spans="1:31" ht="28.5" customHeight="1" x14ac:dyDescent="0.35">
      <c r="A30" s="1" t="s">
        <v>9</v>
      </c>
      <c r="B30" s="1" t="s">
        <v>92</v>
      </c>
      <c r="C30" s="222" t="s">
        <v>93</v>
      </c>
      <c r="D30" s="71" t="s">
        <v>916</v>
      </c>
      <c r="E30" s="82" t="s">
        <v>94</v>
      </c>
      <c r="F30" s="623" t="e">
        <f ca="1">_xll.JChemExcel.Functions.JCSYSStructure("3042207D460A738402B4A5440137123B")</f>
        <v>#NAME?</v>
      </c>
      <c r="G30" s="282"/>
      <c r="H30" s="16">
        <v>0</v>
      </c>
      <c r="I30" s="17">
        <v>0</v>
      </c>
      <c r="J30" s="18">
        <v>0</v>
      </c>
      <c r="K30" s="19">
        <v>0.18181818181818174</v>
      </c>
      <c r="L30" s="20">
        <v>0.2</v>
      </c>
      <c r="M30" s="21">
        <v>7.2727272727274084E-2</v>
      </c>
      <c r="N30" s="30">
        <v>83.193471026246073</v>
      </c>
      <c r="O30" s="227">
        <v>7.1613609313607061</v>
      </c>
      <c r="P30" s="239"/>
      <c r="Q30" s="239"/>
      <c r="R30" s="306"/>
      <c r="S30" s="306"/>
      <c r="T30" s="232" t="s">
        <v>910</v>
      </c>
      <c r="U30" s="17">
        <f>U28*100/400</f>
        <v>7.25</v>
      </c>
      <c r="V30" s="17">
        <f t="shared" ref="V30:AA30" si="7">V28*100/400</f>
        <v>2.25</v>
      </c>
      <c r="W30" s="17">
        <f t="shared" si="7"/>
        <v>1.25</v>
      </c>
      <c r="X30" s="17">
        <f t="shared" si="7"/>
        <v>8</v>
      </c>
      <c r="Y30" s="17">
        <f t="shared" si="7"/>
        <v>0.25</v>
      </c>
      <c r="Z30" s="17">
        <f t="shared" si="7"/>
        <v>0.25</v>
      </c>
      <c r="AA30" s="17">
        <f t="shared" si="7"/>
        <v>2.75</v>
      </c>
      <c r="AB30" s="102"/>
    </row>
    <row r="31" spans="1:31" ht="28.5" customHeight="1" x14ac:dyDescent="0.35">
      <c r="A31" s="1" t="s">
        <v>9</v>
      </c>
      <c r="B31" s="1" t="s">
        <v>95</v>
      </c>
      <c r="C31" s="222" t="s">
        <v>96</v>
      </c>
      <c r="D31" s="71" t="s">
        <v>916</v>
      </c>
      <c r="E31" s="82" t="s">
        <v>97</v>
      </c>
      <c r="F31" s="623" t="e">
        <f ca="1">_xll.JChemExcel.Functions.JCSYSStructure("8D6D11C763DD1FBBBD60D58FD1B1AFA6")</f>
        <v>#NAME?</v>
      </c>
      <c r="G31" s="282"/>
      <c r="H31" s="16">
        <v>0</v>
      </c>
      <c r="I31" s="17">
        <v>0</v>
      </c>
      <c r="J31" s="18">
        <v>0</v>
      </c>
      <c r="K31" s="19">
        <v>0.18181818181818174</v>
      </c>
      <c r="L31" s="20">
        <v>0.2</v>
      </c>
      <c r="M31" s="21">
        <v>7.2727272727274084E-2</v>
      </c>
      <c r="N31" s="30">
        <v>118.45374093100158</v>
      </c>
      <c r="O31" s="227">
        <v>0.73025543325104036</v>
      </c>
      <c r="P31" s="239"/>
      <c r="Q31" s="239"/>
      <c r="R31" s="306"/>
      <c r="S31" s="306"/>
      <c r="T31" s="233" t="s">
        <v>911</v>
      </c>
      <c r="U31" s="36">
        <f>U29*100/400</f>
        <v>0.25</v>
      </c>
      <c r="V31" s="36">
        <f t="shared" ref="V31:AA31" si="8">V29*100/400</f>
        <v>0.25</v>
      </c>
      <c r="W31" s="36">
        <f t="shared" si="8"/>
        <v>8</v>
      </c>
      <c r="X31" s="36">
        <f t="shared" si="8"/>
        <v>1.25</v>
      </c>
      <c r="Y31" s="36">
        <f t="shared" si="8"/>
        <v>2.25</v>
      </c>
      <c r="Z31" s="36">
        <f t="shared" si="8"/>
        <v>7.25</v>
      </c>
      <c r="AA31" s="36">
        <f t="shared" si="8"/>
        <v>78</v>
      </c>
      <c r="AB31" s="106"/>
    </row>
    <row r="32" spans="1:31" ht="28.5" customHeight="1" x14ac:dyDescent="0.35">
      <c r="A32" s="1" t="s">
        <v>9</v>
      </c>
      <c r="B32" s="1" t="s">
        <v>98</v>
      </c>
      <c r="C32" s="222" t="s">
        <v>99</v>
      </c>
      <c r="D32" s="71" t="s">
        <v>916</v>
      </c>
      <c r="E32" s="82" t="s">
        <v>100</v>
      </c>
      <c r="F32" s="623" t="e">
        <f ca="1">_xll.JChemExcel.Functions.JCSYSStructure("AF19D5D49C83EF503F6A7187E782091B")</f>
        <v>#NAME?</v>
      </c>
      <c r="G32" s="282"/>
      <c r="H32" s="16">
        <v>0</v>
      </c>
      <c r="I32" s="17">
        <v>0</v>
      </c>
      <c r="J32" s="18">
        <v>0</v>
      </c>
      <c r="K32" s="19">
        <v>0.18181818181818174</v>
      </c>
      <c r="L32" s="20">
        <v>0.2</v>
      </c>
      <c r="M32" s="21">
        <v>0.12727272727272848</v>
      </c>
      <c r="N32" s="30">
        <v>101.46934747532663</v>
      </c>
      <c r="O32" s="227">
        <v>20.786271286687121</v>
      </c>
      <c r="P32" s="239"/>
      <c r="Q32" s="239"/>
      <c r="R32" s="306"/>
      <c r="S32" s="306"/>
    </row>
    <row r="33" spans="1:19" ht="28.5" customHeight="1" x14ac:dyDescent="0.35">
      <c r="A33" s="1" t="s">
        <v>9</v>
      </c>
      <c r="B33" s="1" t="s">
        <v>101</v>
      </c>
      <c r="C33" s="222" t="s">
        <v>102</v>
      </c>
      <c r="D33" s="71" t="s">
        <v>919</v>
      </c>
      <c r="E33" s="82" t="s">
        <v>103</v>
      </c>
      <c r="F33" s="623" t="e">
        <f ca="1">_xll.JChemExcel.Functions.JCSYSStructure("00ADD1DE40599EB3840310F7DDF4D7AD")</f>
        <v>#NAME?</v>
      </c>
      <c r="G33" s="282"/>
      <c r="H33" s="16">
        <v>0</v>
      </c>
      <c r="I33" s="17">
        <v>0</v>
      </c>
      <c r="J33" s="18">
        <v>0</v>
      </c>
      <c r="K33" s="19">
        <v>0.18181818181818174</v>
      </c>
      <c r="L33" s="20">
        <v>0.35</v>
      </c>
      <c r="M33" s="21">
        <v>0.12727272727272848</v>
      </c>
      <c r="N33" s="30">
        <v>98.406039102283756</v>
      </c>
      <c r="O33" s="227">
        <v>16.454099039798837</v>
      </c>
      <c r="P33" s="239"/>
      <c r="Q33" s="239"/>
      <c r="R33" s="306"/>
      <c r="S33" s="306"/>
    </row>
    <row r="34" spans="1:19" ht="28.5" customHeight="1" x14ac:dyDescent="0.35">
      <c r="A34" s="1" t="s">
        <v>9</v>
      </c>
      <c r="B34" s="1" t="s">
        <v>104</v>
      </c>
      <c r="C34" s="222" t="s">
        <v>105</v>
      </c>
      <c r="D34" s="71" t="s">
        <v>918</v>
      </c>
      <c r="E34" s="82" t="s">
        <v>106</v>
      </c>
      <c r="F34" s="623" t="e">
        <f ca="1">_xll.JChemExcel.Functions.JCSYSStructure("BCEE80DE13205F0A1B9BFC2256D9D3FA")</f>
        <v>#NAME?</v>
      </c>
      <c r="G34" s="282"/>
      <c r="H34" s="16">
        <v>0</v>
      </c>
      <c r="I34" s="17">
        <v>0</v>
      </c>
      <c r="J34" s="18">
        <v>0</v>
      </c>
      <c r="K34" s="19">
        <v>0.18181818181818174</v>
      </c>
      <c r="L34" s="20">
        <v>0.3</v>
      </c>
      <c r="M34" s="21">
        <v>0.12727272727272848</v>
      </c>
      <c r="N34" s="30">
        <v>71.707298573195956</v>
      </c>
      <c r="O34" s="227">
        <v>6.6541957729187988</v>
      </c>
      <c r="P34" s="239"/>
      <c r="Q34" s="239"/>
      <c r="R34" s="306"/>
      <c r="S34" s="306"/>
    </row>
    <row r="35" spans="1:19" ht="28.5" customHeight="1" x14ac:dyDescent="0.35">
      <c r="A35" s="1" t="s">
        <v>9</v>
      </c>
      <c r="B35" s="1" t="s">
        <v>107</v>
      </c>
      <c r="C35" s="222" t="s">
        <v>108</v>
      </c>
      <c r="D35" s="71" t="s">
        <v>916</v>
      </c>
      <c r="E35" s="82" t="s">
        <v>109</v>
      </c>
      <c r="F35" s="623" t="e">
        <f ca="1">_xll.JChemExcel.Functions.JCSYSStructure("E4D9F5356C58710D946F1F60DCA9F7B2")</f>
        <v>#NAME?</v>
      </c>
      <c r="G35" s="282"/>
      <c r="H35" s="16">
        <v>1</v>
      </c>
      <c r="I35" s="17">
        <v>4</v>
      </c>
      <c r="J35" s="18">
        <v>4</v>
      </c>
      <c r="K35" s="19">
        <v>0.27272727272727265</v>
      </c>
      <c r="L35" s="20">
        <v>0.65</v>
      </c>
      <c r="M35" s="21">
        <v>0.67272727272727328</v>
      </c>
      <c r="N35" s="30">
        <v>12.879065650150434</v>
      </c>
      <c r="O35" s="227">
        <v>10.078892538423753</v>
      </c>
      <c r="P35" s="239">
        <v>1</v>
      </c>
      <c r="Q35" s="239"/>
      <c r="R35" s="306"/>
      <c r="S35" s="306"/>
    </row>
    <row r="36" spans="1:19" ht="28.5" customHeight="1" x14ac:dyDescent="0.35">
      <c r="A36" s="1" t="s">
        <v>9</v>
      </c>
      <c r="B36" s="1" t="s">
        <v>110</v>
      </c>
      <c r="C36" s="222" t="s">
        <v>111</v>
      </c>
      <c r="D36" s="71" t="s">
        <v>919</v>
      </c>
      <c r="E36" s="82" t="s">
        <v>112</v>
      </c>
      <c r="F36" s="623" t="e">
        <f ca="1">_xll.JChemExcel.Functions.JCSYSStructure("A3CDC68D45798A5132839B5E87801C3D")</f>
        <v>#NAME?</v>
      </c>
      <c r="G36" s="282"/>
      <c r="H36" s="16">
        <v>0</v>
      </c>
      <c r="I36" s="17">
        <v>0</v>
      </c>
      <c r="J36" s="18">
        <v>0</v>
      </c>
      <c r="K36" s="19">
        <v>9.0909090909090939E-2</v>
      </c>
      <c r="L36" s="20">
        <v>0.15</v>
      </c>
      <c r="M36" s="21">
        <v>0.12727272727272848</v>
      </c>
      <c r="N36" s="30">
        <v>113.53792222857274</v>
      </c>
      <c r="O36" s="227">
        <v>1.0231553496254209</v>
      </c>
      <c r="P36" s="239"/>
      <c r="Q36" s="239"/>
      <c r="R36" s="306"/>
      <c r="S36" s="306"/>
    </row>
    <row r="37" spans="1:19" ht="28.5" customHeight="1" x14ac:dyDescent="0.35">
      <c r="A37" s="1" t="s">
        <v>9</v>
      </c>
      <c r="B37" s="1" t="s">
        <v>113</v>
      </c>
      <c r="C37" s="222" t="s">
        <v>114</v>
      </c>
      <c r="D37" s="71" t="s">
        <v>919</v>
      </c>
      <c r="E37" s="82" t="s">
        <v>115</v>
      </c>
      <c r="F37" s="623" t="e">
        <f ca="1">_xll.JChemExcel.Functions.JCSYSStructure("6F74E68EFB8786DD384D82230F726BA9")</f>
        <v>#NAME?</v>
      </c>
      <c r="G37" s="282" t="s">
        <v>955</v>
      </c>
      <c r="H37" s="16">
        <v>1</v>
      </c>
      <c r="I37" s="17">
        <v>0</v>
      </c>
      <c r="J37" s="18">
        <v>0</v>
      </c>
      <c r="K37" s="19">
        <v>9.0909090909090939E-2</v>
      </c>
      <c r="L37" s="20">
        <v>0.15</v>
      </c>
      <c r="M37" s="21">
        <v>0.12727272727272848</v>
      </c>
      <c r="N37" s="30">
        <v>105.56324743122696</v>
      </c>
      <c r="O37" s="227">
        <v>45.995721634899603</v>
      </c>
      <c r="P37" s="239"/>
      <c r="Q37" s="239"/>
      <c r="R37" s="306"/>
      <c r="S37" s="306"/>
    </row>
    <row r="38" spans="1:19" ht="28.5" customHeight="1" x14ac:dyDescent="0.35">
      <c r="A38" s="1" t="s">
        <v>9</v>
      </c>
      <c r="B38" s="1" t="s">
        <v>116</v>
      </c>
      <c r="C38" s="222" t="s">
        <v>117</v>
      </c>
      <c r="D38" s="71" t="s">
        <v>916</v>
      </c>
      <c r="E38" s="82" t="s">
        <v>118</v>
      </c>
      <c r="F38" s="623" t="e">
        <f ca="1">_xll.JChemExcel.Functions.JCSYSStructure("489E0FC2ED4467595668DA0DCB193291")</f>
        <v>#NAME?</v>
      </c>
      <c r="G38" s="282"/>
      <c r="H38" s="16">
        <v>1</v>
      </c>
      <c r="I38" s="17">
        <v>0</v>
      </c>
      <c r="J38" s="18">
        <v>0</v>
      </c>
      <c r="K38" s="19">
        <v>9.0909090909090939E-2</v>
      </c>
      <c r="L38" s="20">
        <v>0.15</v>
      </c>
      <c r="M38" s="21">
        <v>0.12727272727272848</v>
      </c>
      <c r="N38" s="30">
        <v>91.320631312892232</v>
      </c>
      <c r="O38" s="227">
        <v>11.456181707954347</v>
      </c>
      <c r="P38" s="239"/>
      <c r="Q38" s="239"/>
      <c r="R38" s="306"/>
      <c r="S38" s="306"/>
    </row>
    <row r="39" spans="1:19" ht="28.5" customHeight="1" x14ac:dyDescent="0.35">
      <c r="A39" s="1" t="s">
        <v>9</v>
      </c>
      <c r="B39" s="1" t="s">
        <v>119</v>
      </c>
      <c r="C39" s="222" t="s">
        <v>120</v>
      </c>
      <c r="D39" s="71" t="s">
        <v>916</v>
      </c>
      <c r="E39" s="82" t="s">
        <v>121</v>
      </c>
      <c r="F39" s="623" t="e">
        <f ca="1">_xll.JChemExcel.Functions.JCSYSStructure("09B25BD16A46248E4541D4E80E1C836A")</f>
        <v>#NAME?</v>
      </c>
      <c r="G39" s="282"/>
      <c r="H39" s="16">
        <v>0</v>
      </c>
      <c r="I39" s="17">
        <v>0</v>
      </c>
      <c r="J39" s="18">
        <v>0</v>
      </c>
      <c r="K39" s="19">
        <v>0</v>
      </c>
      <c r="L39" s="20">
        <v>0.25</v>
      </c>
      <c r="M39" s="21">
        <v>0.12727272727272848</v>
      </c>
      <c r="N39" s="30">
        <v>102.46476404638349</v>
      </c>
      <c r="O39" s="227">
        <v>52.495589736789398</v>
      </c>
      <c r="P39" s="239"/>
      <c r="Q39" s="239"/>
      <c r="R39" s="306"/>
      <c r="S39" s="306"/>
    </row>
    <row r="40" spans="1:19" ht="28.5" customHeight="1" x14ac:dyDescent="0.35">
      <c r="A40" s="4" t="s">
        <v>9</v>
      </c>
      <c r="B40" s="4" t="s">
        <v>122</v>
      </c>
      <c r="C40" s="223" t="s">
        <v>123</v>
      </c>
      <c r="D40" s="71" t="s">
        <v>916</v>
      </c>
      <c r="E40" s="82" t="s">
        <v>124</v>
      </c>
      <c r="F40" s="623" t="e">
        <f ca="1">_xll.JChemExcel.Functions.JCSYSStructure("BC0965B423ABD946E593D69AE26FB166")</f>
        <v>#NAME?</v>
      </c>
      <c r="G40" s="282"/>
      <c r="H40" s="24">
        <v>2</v>
      </c>
      <c r="I40" s="25">
        <v>4</v>
      </c>
      <c r="J40" s="26">
        <v>4</v>
      </c>
      <c r="K40" s="27">
        <v>0.18181818181818174</v>
      </c>
      <c r="L40" s="28">
        <v>1</v>
      </c>
      <c r="M40" s="29">
        <v>1</v>
      </c>
      <c r="N40" s="30">
        <v>7.0578832419273247</v>
      </c>
      <c r="O40" s="227">
        <v>0.2714534485895676</v>
      </c>
      <c r="P40" s="239">
        <v>1</v>
      </c>
      <c r="Q40" s="239"/>
      <c r="R40" s="306"/>
      <c r="S40" s="306"/>
    </row>
    <row r="41" spans="1:19" ht="28.5" customHeight="1" x14ac:dyDescent="0.35">
      <c r="A41" s="1" t="s">
        <v>9</v>
      </c>
      <c r="B41" s="1" t="s">
        <v>125</v>
      </c>
      <c r="C41" s="222" t="s">
        <v>126</v>
      </c>
      <c r="D41" s="71" t="s">
        <v>916</v>
      </c>
      <c r="E41" s="82" t="s">
        <v>127</v>
      </c>
      <c r="F41" s="623" t="e">
        <f ca="1">_xll.JChemExcel.Functions.JCSYSStructure("5E4ABCDF406E6EA8D4F44924C8C541E1")</f>
        <v>#NAME?</v>
      </c>
      <c r="G41" s="282"/>
      <c r="H41" s="16">
        <v>0</v>
      </c>
      <c r="I41" s="17">
        <v>0</v>
      </c>
      <c r="J41" s="18">
        <v>0</v>
      </c>
      <c r="K41" s="19">
        <v>4.545454545454547E-2</v>
      </c>
      <c r="L41" s="20">
        <v>0.2</v>
      </c>
      <c r="M41" s="21">
        <v>0.12727272727272848</v>
      </c>
      <c r="N41" s="30">
        <v>88.55663287703193</v>
      </c>
      <c r="O41" s="227">
        <v>19.60096753483889</v>
      </c>
      <c r="P41" s="239"/>
      <c r="Q41" s="239"/>
      <c r="R41" s="306"/>
      <c r="S41" s="306"/>
    </row>
    <row r="42" spans="1:19" ht="28.5" customHeight="1" x14ac:dyDescent="0.35">
      <c r="A42" s="1" t="s">
        <v>9</v>
      </c>
      <c r="B42" s="1" t="s">
        <v>128</v>
      </c>
      <c r="C42" s="222" t="s">
        <v>129</v>
      </c>
      <c r="D42" s="71" t="s">
        <v>916</v>
      </c>
      <c r="E42" s="82" t="s">
        <v>130</v>
      </c>
      <c r="F42" s="623" t="e">
        <f ca="1">_xll.JChemExcel.Functions.JCSYSStructure("ADD6FE7DC2589E298BA747A0847D1C73")</f>
        <v>#NAME?</v>
      </c>
      <c r="G42" s="282"/>
      <c r="H42" s="16">
        <v>0</v>
      </c>
      <c r="I42" s="17">
        <v>0</v>
      </c>
      <c r="J42" s="18">
        <v>0</v>
      </c>
      <c r="K42" s="19">
        <v>9.0909090909090939E-2</v>
      </c>
      <c r="L42" s="20">
        <v>0.1</v>
      </c>
      <c r="M42" s="21">
        <v>0.12727272727272848</v>
      </c>
      <c r="N42" s="30">
        <v>68.073232319671163</v>
      </c>
      <c r="O42" s="227">
        <v>16.414525285230255</v>
      </c>
      <c r="P42" s="239"/>
      <c r="Q42" s="239"/>
      <c r="R42" s="306"/>
      <c r="S42" s="306"/>
    </row>
    <row r="43" spans="1:19" ht="28.5" customHeight="1" x14ac:dyDescent="0.35">
      <c r="A43" s="1" t="s">
        <v>9</v>
      </c>
      <c r="B43" s="1" t="s">
        <v>131</v>
      </c>
      <c r="C43" s="222" t="s">
        <v>132</v>
      </c>
      <c r="D43" s="71" t="s">
        <v>919</v>
      </c>
      <c r="E43" s="82" t="s">
        <v>133</v>
      </c>
      <c r="F43" s="623" t="e">
        <f ca="1">_xll.JChemExcel.Functions.JCSYSStructure("358EC771D522C549E30D0C9D2B067D0C")</f>
        <v>#NAME?</v>
      </c>
      <c r="G43" s="282"/>
      <c r="H43" s="16">
        <v>2</v>
      </c>
      <c r="I43" s="17">
        <v>1</v>
      </c>
      <c r="J43" s="18">
        <v>0</v>
      </c>
      <c r="K43" s="19">
        <v>0.18181818181818174</v>
      </c>
      <c r="L43" s="20">
        <v>0.65</v>
      </c>
      <c r="M43" s="21">
        <v>0.45454545454545536</v>
      </c>
      <c r="N43" s="30">
        <v>91.616455982582536</v>
      </c>
      <c r="O43" s="227">
        <v>7.1870026729816994</v>
      </c>
      <c r="P43" s="239"/>
      <c r="Q43" s="239"/>
      <c r="R43" s="306"/>
      <c r="S43" s="306"/>
    </row>
    <row r="44" spans="1:19" ht="28.5" customHeight="1" x14ac:dyDescent="0.35">
      <c r="A44" s="1" t="s">
        <v>9</v>
      </c>
      <c r="B44" s="1" t="s">
        <v>134</v>
      </c>
      <c r="C44" s="222" t="s">
        <v>135</v>
      </c>
      <c r="D44" s="71" t="s">
        <v>918</v>
      </c>
      <c r="E44" s="82" t="s">
        <v>136</v>
      </c>
      <c r="F44" s="623" t="e">
        <f ca="1">_xll.JChemExcel.Functions.JCSYSStructure("06DFCE685DD194FB1E6493C253E011B9")</f>
        <v>#NAME?</v>
      </c>
      <c r="G44" s="282"/>
      <c r="H44" s="16">
        <v>1</v>
      </c>
      <c r="I44" s="17">
        <v>1</v>
      </c>
      <c r="J44" s="18">
        <v>0</v>
      </c>
      <c r="K44" s="19">
        <v>0.13636363636363641</v>
      </c>
      <c r="L44" s="20">
        <v>0.44999999999999996</v>
      </c>
      <c r="M44" s="21">
        <v>0.50909090909090982</v>
      </c>
      <c r="N44" s="30">
        <v>79.682698628517016</v>
      </c>
      <c r="O44" s="227">
        <v>15.214477531949905</v>
      </c>
      <c r="P44" s="239"/>
      <c r="Q44" s="239"/>
      <c r="R44" s="306"/>
      <c r="S44" s="306"/>
    </row>
    <row r="45" spans="1:19" ht="28.5" customHeight="1" x14ac:dyDescent="0.35">
      <c r="A45" s="1" t="s">
        <v>9</v>
      </c>
      <c r="B45" s="1" t="s">
        <v>137</v>
      </c>
      <c r="C45" s="222" t="s">
        <v>138</v>
      </c>
      <c r="D45" s="71" t="s">
        <v>916</v>
      </c>
      <c r="E45" s="82" t="s">
        <v>139</v>
      </c>
      <c r="F45" s="623" t="e">
        <f ca="1">_xll.JChemExcel.Functions.JCSYSStructure("D91EC53E4CC25E5CCEEDCCCB6B64B211")</f>
        <v>#NAME?</v>
      </c>
      <c r="G45" s="282"/>
      <c r="H45" s="16">
        <v>0</v>
      </c>
      <c r="I45" s="17">
        <v>0</v>
      </c>
      <c r="J45" s="18">
        <v>0</v>
      </c>
      <c r="K45" s="19">
        <v>0.18181818181818174</v>
      </c>
      <c r="L45" s="20">
        <v>0.44999999999999996</v>
      </c>
      <c r="M45" s="21">
        <v>0.45454545454545536</v>
      </c>
      <c r="N45" s="30">
        <v>355.20891364902519</v>
      </c>
      <c r="O45" s="227">
        <v>0.94543525061327383</v>
      </c>
      <c r="P45" s="239"/>
      <c r="Q45" s="239"/>
      <c r="R45" s="241">
        <v>1</v>
      </c>
      <c r="S45" s="241"/>
    </row>
    <row r="46" spans="1:19" ht="28.5" customHeight="1" x14ac:dyDescent="0.35">
      <c r="A46" s="1" t="s">
        <v>9</v>
      </c>
      <c r="B46" s="1" t="s">
        <v>140</v>
      </c>
      <c r="C46" s="222" t="s">
        <v>141</v>
      </c>
      <c r="D46" s="71" t="s">
        <v>919</v>
      </c>
      <c r="E46" s="82" t="s">
        <v>142</v>
      </c>
      <c r="F46" s="623" t="e">
        <f ca="1">_xll.JChemExcel.Functions.JCSYSStructure("D5E046EEFC47A372B8104B70D0C98C04")</f>
        <v>#NAME?</v>
      </c>
      <c r="G46" s="282"/>
      <c r="H46" s="16">
        <v>1</v>
      </c>
      <c r="I46" s="17">
        <v>0</v>
      </c>
      <c r="J46" s="18">
        <v>0</v>
      </c>
      <c r="K46" s="19">
        <v>9.0909090909090939E-2</v>
      </c>
      <c r="L46" s="20">
        <v>0.25</v>
      </c>
      <c r="M46" s="21">
        <v>0.23636363636363755</v>
      </c>
      <c r="N46" s="30">
        <v>130.98970415719887</v>
      </c>
      <c r="O46" s="227">
        <v>27.70075210517847</v>
      </c>
      <c r="P46" s="239"/>
      <c r="Q46" s="239"/>
      <c r="R46" s="241">
        <v>1</v>
      </c>
      <c r="S46" s="241"/>
    </row>
    <row r="47" spans="1:19" ht="28.5" customHeight="1" x14ac:dyDescent="0.35">
      <c r="A47" s="1" t="s">
        <v>9</v>
      </c>
      <c r="B47" s="1" t="s">
        <v>143</v>
      </c>
      <c r="C47" s="222" t="s">
        <v>144</v>
      </c>
      <c r="D47" s="71" t="s">
        <v>916</v>
      </c>
      <c r="E47" s="82" t="s">
        <v>145</v>
      </c>
      <c r="F47" s="623" t="e">
        <f ca="1">_xll.JChemExcel.Functions.JCSYSStructure("43C72D4267046C135053358D442DF5FF")</f>
        <v>#NAME?</v>
      </c>
      <c r="G47" s="282" t="s">
        <v>964</v>
      </c>
      <c r="H47" s="16">
        <v>0</v>
      </c>
      <c r="I47" s="17">
        <v>0</v>
      </c>
      <c r="J47" s="18">
        <v>0</v>
      </c>
      <c r="K47" s="19">
        <v>0.13636363636363641</v>
      </c>
      <c r="L47" s="20">
        <v>0.2</v>
      </c>
      <c r="M47" s="21">
        <v>0.23636363636363755</v>
      </c>
      <c r="N47" s="30">
        <v>144.7157149905384</v>
      </c>
      <c r="O47" s="227">
        <v>48.965690603577976</v>
      </c>
      <c r="P47" s="239"/>
      <c r="Q47" s="239"/>
      <c r="R47" s="241">
        <v>1</v>
      </c>
      <c r="S47" s="241"/>
    </row>
    <row r="48" spans="1:19" ht="28.5" customHeight="1" x14ac:dyDescent="0.35">
      <c r="A48" s="1" t="s">
        <v>9</v>
      </c>
      <c r="B48" s="1" t="s">
        <v>146</v>
      </c>
      <c r="C48" s="222" t="s">
        <v>147</v>
      </c>
      <c r="D48" s="71" t="s">
        <v>916</v>
      </c>
      <c r="E48" s="82" t="s">
        <v>148</v>
      </c>
      <c r="F48" s="623" t="e">
        <f ca="1">_xll.JChemExcel.Functions.JCSYSStructure("69D51DFF5287A3FB69307C9F10203B96")</f>
        <v>#NAME?</v>
      </c>
      <c r="G48" s="282"/>
      <c r="H48" s="16">
        <v>0</v>
      </c>
      <c r="I48" s="17">
        <v>0</v>
      </c>
      <c r="J48" s="18">
        <v>0</v>
      </c>
      <c r="K48" s="19">
        <v>9.0909090909090939E-2</v>
      </c>
      <c r="L48" s="20">
        <v>0.2</v>
      </c>
      <c r="M48" s="21">
        <v>0.18181818181818302</v>
      </c>
      <c r="N48" s="30">
        <v>133.54517077911447</v>
      </c>
      <c r="O48" s="227">
        <v>15.087650628809589</v>
      </c>
      <c r="P48" s="239"/>
      <c r="Q48" s="239"/>
      <c r="R48" s="241">
        <v>1</v>
      </c>
      <c r="S48" s="241"/>
    </row>
    <row r="49" spans="1:19" ht="28.5" customHeight="1" x14ac:dyDescent="0.35">
      <c r="A49" s="1" t="s">
        <v>9</v>
      </c>
      <c r="B49" s="1" t="s">
        <v>149</v>
      </c>
      <c r="C49" s="222" t="s">
        <v>150</v>
      </c>
      <c r="D49" s="71" t="s">
        <v>916</v>
      </c>
      <c r="E49" s="82" t="s">
        <v>151</v>
      </c>
      <c r="F49" s="623" t="e">
        <f ca="1">_xll.JChemExcel.Functions.JCSYSStructure("181C492415FD805F8017D8CB6FFA9587")</f>
        <v>#NAME?</v>
      </c>
      <c r="G49" s="282"/>
      <c r="H49" s="16">
        <v>0</v>
      </c>
      <c r="I49" s="17">
        <v>0</v>
      </c>
      <c r="J49" s="18">
        <v>0</v>
      </c>
      <c r="K49" s="19">
        <v>0.13636363636363641</v>
      </c>
      <c r="L49" s="20">
        <v>0.3</v>
      </c>
      <c r="M49" s="21">
        <v>0.40000000000000091</v>
      </c>
      <c r="N49" s="30">
        <v>124.85061700314944</v>
      </c>
      <c r="O49" s="227">
        <v>37.780819890093234</v>
      </c>
      <c r="P49" s="239"/>
      <c r="Q49" s="239"/>
      <c r="R49" s="241"/>
      <c r="S49" s="241"/>
    </row>
    <row r="50" spans="1:19" ht="28.5" customHeight="1" x14ac:dyDescent="0.35">
      <c r="A50" s="1" t="s">
        <v>9</v>
      </c>
      <c r="B50" s="1" t="s">
        <v>152</v>
      </c>
      <c r="C50" s="222" t="s">
        <v>153</v>
      </c>
      <c r="D50" s="71" t="s">
        <v>916</v>
      </c>
      <c r="E50" s="82" t="s">
        <v>154</v>
      </c>
      <c r="F50" s="623" t="e">
        <f ca="1">_xll.JChemExcel.Functions.JCSYSStructure("85B884AE5793AC8D1E9AA9C68285CAEF")</f>
        <v>#NAME?</v>
      </c>
      <c r="G50" s="282"/>
      <c r="H50" s="16">
        <v>0</v>
      </c>
      <c r="I50" s="17">
        <v>0</v>
      </c>
      <c r="J50" s="18">
        <v>1</v>
      </c>
      <c r="K50" s="19">
        <v>0.18181818181818174</v>
      </c>
      <c r="L50" s="20">
        <v>0.2</v>
      </c>
      <c r="M50" s="21">
        <v>0.18181818181818302</v>
      </c>
      <c r="N50" s="30">
        <v>137.38839337428487</v>
      </c>
      <c r="O50" s="227">
        <v>68.570055669181627</v>
      </c>
      <c r="P50" s="239"/>
      <c r="Q50" s="239"/>
      <c r="R50" s="241">
        <v>1</v>
      </c>
      <c r="S50" s="241"/>
    </row>
    <row r="51" spans="1:19" ht="28.5" customHeight="1" x14ac:dyDescent="0.35">
      <c r="A51" s="1" t="s">
        <v>9</v>
      </c>
      <c r="B51" s="1" t="s">
        <v>155</v>
      </c>
      <c r="C51" s="222" t="s">
        <v>156</v>
      </c>
      <c r="D51" s="71" t="s">
        <v>916</v>
      </c>
      <c r="E51" s="82" t="s">
        <v>157</v>
      </c>
      <c r="F51" s="623" t="e">
        <f ca="1">_xll.JChemExcel.Functions.JCSYSStructure("B5F1295A386DA12FD833063D95EA0957")</f>
        <v>#NAME?</v>
      </c>
      <c r="G51" s="282"/>
      <c r="H51" s="16">
        <v>0</v>
      </c>
      <c r="I51" s="17">
        <v>0</v>
      </c>
      <c r="J51" s="18">
        <v>0</v>
      </c>
      <c r="K51" s="19">
        <v>0.13636363636363641</v>
      </c>
      <c r="L51" s="20">
        <v>0.2</v>
      </c>
      <c r="M51" s="21">
        <v>0.18181818181818302</v>
      </c>
      <c r="N51" s="30">
        <v>337.32590529247921</v>
      </c>
      <c r="O51" s="227">
        <v>50.029282011527549</v>
      </c>
      <c r="P51" s="239"/>
      <c r="Q51" s="239"/>
      <c r="R51" s="241">
        <v>1</v>
      </c>
      <c r="S51" s="241"/>
    </row>
    <row r="52" spans="1:19" ht="28.5" customHeight="1" x14ac:dyDescent="0.35">
      <c r="A52" s="1" t="s">
        <v>9</v>
      </c>
      <c r="B52" s="1" t="s">
        <v>158</v>
      </c>
      <c r="C52" s="222" t="s">
        <v>159</v>
      </c>
      <c r="D52" s="71" t="s">
        <v>916</v>
      </c>
      <c r="E52" s="82" t="s">
        <v>160</v>
      </c>
      <c r="F52" s="623" t="e">
        <f ca="1">_xll.JChemExcel.Functions.JCSYSStructure("92CCEFD9A88F700077C8C11A60E02627")</f>
        <v>#NAME?</v>
      </c>
      <c r="G52" s="282"/>
      <c r="H52" s="16">
        <v>2</v>
      </c>
      <c r="I52" s="17">
        <v>4</v>
      </c>
      <c r="J52" s="18">
        <v>4</v>
      </c>
      <c r="K52" s="32">
        <v>0.18181818181818174</v>
      </c>
      <c r="L52" s="33">
        <v>0.2</v>
      </c>
      <c r="M52" s="34">
        <v>0.16666666666666657</v>
      </c>
      <c r="N52" s="42">
        <v>144.94489651072348</v>
      </c>
      <c r="O52" s="227">
        <v>4.1146519281758804</v>
      </c>
      <c r="P52" s="239"/>
      <c r="Q52" s="239"/>
      <c r="R52" s="241">
        <v>1</v>
      </c>
      <c r="S52" s="241">
        <v>1</v>
      </c>
    </row>
    <row r="53" spans="1:19" ht="28.5" customHeight="1" x14ac:dyDescent="0.35">
      <c r="A53" s="1" t="s">
        <v>9</v>
      </c>
      <c r="B53" s="1" t="s">
        <v>161</v>
      </c>
      <c r="C53" s="222" t="s">
        <v>162</v>
      </c>
      <c r="D53" s="71" t="s">
        <v>918</v>
      </c>
      <c r="E53" s="82" t="s">
        <v>163</v>
      </c>
      <c r="F53" s="623" t="e">
        <f ca="1">_xll.JChemExcel.Functions.JCSYSStructure("CE00C56508D95A456558255215D65670")</f>
        <v>#NAME?</v>
      </c>
      <c r="G53" s="282"/>
      <c r="H53" s="16">
        <v>0</v>
      </c>
      <c r="I53" s="17">
        <v>0</v>
      </c>
      <c r="J53" s="18">
        <v>0</v>
      </c>
      <c r="K53" s="19">
        <v>0.22727272727272735</v>
      </c>
      <c r="L53" s="20">
        <v>0.6</v>
      </c>
      <c r="M53" s="21">
        <v>0.45454545454545536</v>
      </c>
      <c r="N53" s="30">
        <v>86.925628420926031</v>
      </c>
      <c r="O53" s="227">
        <v>10.93271979817102</v>
      </c>
      <c r="P53" s="239"/>
      <c r="Q53" s="239"/>
      <c r="R53" s="306"/>
      <c r="S53" s="306"/>
    </row>
    <row r="54" spans="1:19" ht="28.5" customHeight="1" x14ac:dyDescent="0.35">
      <c r="A54" s="1" t="s">
        <v>9</v>
      </c>
      <c r="B54" s="1" t="s">
        <v>164</v>
      </c>
      <c r="C54" s="222" t="s">
        <v>165</v>
      </c>
      <c r="D54" s="71" t="s">
        <v>920</v>
      </c>
      <c r="E54" s="82" t="s">
        <v>166</v>
      </c>
      <c r="F54" s="623" t="e">
        <f ca="1">_xll.JChemExcel.Functions.JCSYSStructure("3E761C7292517E8B376F2C7B3AEC5AF2")</f>
        <v>#NAME?</v>
      </c>
      <c r="G54" s="282"/>
      <c r="H54" s="16">
        <v>1</v>
      </c>
      <c r="I54" s="17">
        <v>0</v>
      </c>
      <c r="J54" s="18">
        <v>0</v>
      </c>
      <c r="K54" s="19">
        <v>0.18181818181818174</v>
      </c>
      <c r="L54" s="20">
        <v>0.35</v>
      </c>
      <c r="M54" s="21">
        <v>0.34545454545454646</v>
      </c>
      <c r="N54" s="30">
        <v>89.86443417488104</v>
      </c>
      <c r="O54" s="227">
        <v>8.8945717200041141</v>
      </c>
      <c r="P54" s="239"/>
      <c r="Q54" s="239"/>
      <c r="R54" s="306"/>
      <c r="S54" s="306"/>
    </row>
    <row r="55" spans="1:19" ht="28.5" customHeight="1" x14ac:dyDescent="0.35">
      <c r="A55" s="4" t="s">
        <v>9</v>
      </c>
      <c r="B55" s="4" t="s">
        <v>167</v>
      </c>
      <c r="C55" s="223" t="s">
        <v>168</v>
      </c>
      <c r="D55" s="71" t="s">
        <v>916</v>
      </c>
      <c r="E55" s="82" t="s">
        <v>169</v>
      </c>
      <c r="F55" s="623" t="e">
        <f ca="1">_xll.JChemExcel.Functions.JCSYSStructure("341B3B527B04392326187DBF16A14A97")</f>
        <v>#NAME?</v>
      </c>
      <c r="G55" s="282"/>
      <c r="H55" s="24">
        <v>4</v>
      </c>
      <c r="I55" s="25">
        <v>4</v>
      </c>
      <c r="J55" s="26">
        <v>4</v>
      </c>
      <c r="K55" s="27">
        <v>1</v>
      </c>
      <c r="L55" s="28">
        <v>1</v>
      </c>
      <c r="M55" s="29">
        <v>1</v>
      </c>
      <c r="N55" s="30">
        <v>-7.1508673581733033</v>
      </c>
      <c r="O55" s="227">
        <v>7.4654150053390866</v>
      </c>
      <c r="P55" s="239">
        <v>1</v>
      </c>
      <c r="Q55" s="239"/>
      <c r="R55" s="306"/>
      <c r="S55" s="306"/>
    </row>
    <row r="56" spans="1:19" ht="28.5" customHeight="1" x14ac:dyDescent="0.35">
      <c r="A56" s="1" t="s">
        <v>9</v>
      </c>
      <c r="B56" s="1" t="s">
        <v>170</v>
      </c>
      <c r="C56" s="222" t="s">
        <v>171</v>
      </c>
      <c r="D56" s="71" t="s">
        <v>919</v>
      </c>
      <c r="E56" s="82" t="s">
        <v>172</v>
      </c>
      <c r="F56" s="623" t="e">
        <f ca="1">_xll.JChemExcel.Functions.JCSYSStructure("B970C6CF7D5E4D9D388E138DA2F57565")</f>
        <v>#NAME?</v>
      </c>
      <c r="G56" s="282"/>
      <c r="H56" s="16">
        <v>1</v>
      </c>
      <c r="I56" s="17">
        <v>0</v>
      </c>
      <c r="J56" s="18">
        <v>0</v>
      </c>
      <c r="K56" s="19">
        <v>0.13636363636363641</v>
      </c>
      <c r="L56" s="20">
        <v>0.3</v>
      </c>
      <c r="M56" s="21">
        <v>0.23636363636363755</v>
      </c>
      <c r="N56" s="30">
        <v>87.285799589866627</v>
      </c>
      <c r="O56" s="227">
        <v>17.687623511306775</v>
      </c>
      <c r="P56" s="239"/>
      <c r="Q56" s="239"/>
      <c r="R56" s="306"/>
      <c r="S56" s="306"/>
    </row>
    <row r="57" spans="1:19" ht="28.5" customHeight="1" x14ac:dyDescent="0.35">
      <c r="A57" s="1" t="s">
        <v>9</v>
      </c>
      <c r="B57" s="1" t="s">
        <v>173</v>
      </c>
      <c r="C57" s="222" t="s">
        <v>174</v>
      </c>
      <c r="D57" s="71" t="s">
        <v>916</v>
      </c>
      <c r="E57" s="82" t="s">
        <v>175</v>
      </c>
      <c r="F57" s="623" t="e">
        <f ca="1">_xll.JChemExcel.Functions.JCSYSStructure("005423D76BD39C7A3751EA7AE7DAF57E")</f>
        <v>#NAME?</v>
      </c>
      <c r="G57" s="282"/>
      <c r="H57" s="16">
        <v>0</v>
      </c>
      <c r="I57" s="17">
        <v>0</v>
      </c>
      <c r="J57" s="18">
        <v>0</v>
      </c>
      <c r="K57" s="19">
        <v>9.0909090909090939E-2</v>
      </c>
      <c r="L57" s="20">
        <v>0.4</v>
      </c>
      <c r="M57" s="21">
        <v>0.40000000000000091</v>
      </c>
      <c r="N57" s="30">
        <v>46.437860198869771</v>
      </c>
      <c r="O57" s="227">
        <v>8.8253247722152093</v>
      </c>
      <c r="P57" s="239"/>
      <c r="Q57" s="239">
        <v>1</v>
      </c>
      <c r="R57" s="306"/>
      <c r="S57" s="306"/>
    </row>
    <row r="58" spans="1:19" ht="28.5" customHeight="1" x14ac:dyDescent="0.35">
      <c r="A58" s="1" t="s">
        <v>9</v>
      </c>
      <c r="B58" s="1" t="s">
        <v>176</v>
      </c>
      <c r="C58" s="222" t="s">
        <v>177</v>
      </c>
      <c r="D58" s="71" t="s">
        <v>916</v>
      </c>
      <c r="E58" s="82" t="s">
        <v>178</v>
      </c>
      <c r="F58" s="623" t="e">
        <f ca="1">_xll.JChemExcel.Functions.JCSYSStructure("78787E44BAAB905C2339A2C54AEAC12C")</f>
        <v>#NAME?</v>
      </c>
      <c r="G58" s="282"/>
      <c r="H58" s="16">
        <v>1</v>
      </c>
      <c r="I58" s="17">
        <v>1</v>
      </c>
      <c r="J58" s="18">
        <v>0</v>
      </c>
      <c r="K58" s="19">
        <v>0.13636363636363641</v>
      </c>
      <c r="L58" s="20">
        <v>0.2</v>
      </c>
      <c r="M58" s="21">
        <v>0.12727272727272848</v>
      </c>
      <c r="N58" s="30">
        <v>79.280744541778972</v>
      </c>
      <c r="O58" s="227">
        <v>2.2975783990190091</v>
      </c>
      <c r="P58" s="239"/>
      <c r="Q58" s="239"/>
      <c r="R58" s="306"/>
      <c r="S58" s="306"/>
    </row>
    <row r="59" spans="1:19" ht="28.5" customHeight="1" x14ac:dyDescent="0.35">
      <c r="A59" s="1" t="s">
        <v>9</v>
      </c>
      <c r="B59" s="1" t="s">
        <v>179</v>
      </c>
      <c r="C59" s="222" t="s">
        <v>180</v>
      </c>
      <c r="D59" s="71" t="s">
        <v>916</v>
      </c>
      <c r="E59" s="82" t="s">
        <v>181</v>
      </c>
      <c r="F59" s="623" t="e">
        <f ca="1">_xll.JChemExcel.Functions.JCSYSStructure("91B08C69F596700271680A2A6FC44F43")</f>
        <v>#NAME?</v>
      </c>
      <c r="G59" s="282"/>
      <c r="H59" s="16">
        <v>0</v>
      </c>
      <c r="I59" s="17">
        <v>0</v>
      </c>
      <c r="J59" s="18">
        <v>0</v>
      </c>
      <c r="K59" s="19">
        <v>0.18181818181818174</v>
      </c>
      <c r="L59" s="20">
        <v>0.2</v>
      </c>
      <c r="M59" s="21">
        <v>0.12727272727272848</v>
      </c>
      <c r="N59" s="30">
        <v>99.889614728861289</v>
      </c>
      <c r="O59" s="227">
        <v>42.659531614223695</v>
      </c>
      <c r="P59" s="239"/>
      <c r="Q59" s="239"/>
      <c r="R59" s="306"/>
      <c r="S59" s="306"/>
    </row>
    <row r="60" spans="1:19" ht="28.5" customHeight="1" x14ac:dyDescent="0.35">
      <c r="A60" s="1" t="s">
        <v>9</v>
      </c>
      <c r="B60" s="1" t="s">
        <v>182</v>
      </c>
      <c r="C60" s="222" t="s">
        <v>183</v>
      </c>
      <c r="D60" s="71" t="s">
        <v>916</v>
      </c>
      <c r="E60" s="82" t="s">
        <v>184</v>
      </c>
      <c r="F60" s="623" t="e">
        <f ca="1">_xll.JChemExcel.Functions.JCSYSStructure("A9DCDBB24ABB653D16D262C6C2CACC06")</f>
        <v>#NAME?</v>
      </c>
      <c r="G60" s="282"/>
      <c r="H60" s="16">
        <v>2</v>
      </c>
      <c r="I60" s="17">
        <v>0</v>
      </c>
      <c r="J60" s="18">
        <v>1</v>
      </c>
      <c r="K60" s="19">
        <v>0.27272727272727265</v>
      </c>
      <c r="L60" s="20">
        <v>0.5</v>
      </c>
      <c r="M60" s="21">
        <v>0.40000000000000091</v>
      </c>
      <c r="N60" s="30">
        <v>71.551227086129032</v>
      </c>
      <c r="O60" s="227">
        <v>31.712701735455038</v>
      </c>
      <c r="P60" s="239"/>
      <c r="Q60" s="239"/>
      <c r="R60" s="306"/>
      <c r="S60" s="306"/>
    </row>
    <row r="61" spans="1:19" ht="28.5" customHeight="1" x14ac:dyDescent="0.35">
      <c r="A61" s="1" t="s">
        <v>9</v>
      </c>
      <c r="B61" s="1" t="s">
        <v>185</v>
      </c>
      <c r="C61" s="222" t="s">
        <v>186</v>
      </c>
      <c r="D61" s="71" t="s">
        <v>916</v>
      </c>
      <c r="E61" s="82" t="s">
        <v>187</v>
      </c>
      <c r="F61" s="623" t="e">
        <f ca="1">_xll.JChemExcel.Functions.JCSYSStructure("F1F22776678A5FB09C8405D712E479AE")</f>
        <v>#NAME?</v>
      </c>
      <c r="G61" s="282"/>
      <c r="H61" s="16">
        <v>1</v>
      </c>
      <c r="I61" s="17">
        <v>1</v>
      </c>
      <c r="J61" s="18">
        <v>0</v>
      </c>
      <c r="K61" s="19">
        <v>0.18181818181818174</v>
      </c>
      <c r="L61" s="20">
        <v>0.3</v>
      </c>
      <c r="M61" s="21">
        <v>0.29090909090909206</v>
      </c>
      <c r="N61" s="30">
        <v>95.570481879530206</v>
      </c>
      <c r="O61" s="227">
        <v>7.7564772635626991</v>
      </c>
      <c r="P61" s="239"/>
      <c r="Q61" s="239"/>
      <c r="R61" s="306"/>
      <c r="S61" s="306"/>
    </row>
    <row r="62" spans="1:19" ht="28.5" customHeight="1" x14ac:dyDescent="0.35">
      <c r="A62" s="1" t="s">
        <v>9</v>
      </c>
      <c r="B62" s="1" t="s">
        <v>188</v>
      </c>
      <c r="C62" s="222" t="s">
        <v>189</v>
      </c>
      <c r="D62" s="71" t="s">
        <v>916</v>
      </c>
      <c r="E62" s="82" t="s">
        <v>190</v>
      </c>
      <c r="F62" s="623" t="e">
        <f ca="1">_xll.JChemExcel.Functions.JCSYSStructure("90B0ACBC5C7E9D9E96A0689092118D73")</f>
        <v>#NAME?</v>
      </c>
      <c r="G62" s="282"/>
      <c r="H62" s="16">
        <v>1</v>
      </c>
      <c r="I62" s="17">
        <v>0</v>
      </c>
      <c r="J62" s="18">
        <v>0</v>
      </c>
      <c r="K62" s="19">
        <v>0.22727272727272735</v>
      </c>
      <c r="L62" s="20">
        <v>0.25</v>
      </c>
      <c r="M62" s="21">
        <v>0.23636363636363755</v>
      </c>
      <c r="N62" s="30">
        <v>109.2853116524177</v>
      </c>
      <c r="O62" s="227">
        <v>11.080615665676941</v>
      </c>
      <c r="P62" s="239"/>
      <c r="Q62" s="239"/>
      <c r="R62" s="306"/>
      <c r="S62" s="306"/>
    </row>
    <row r="63" spans="1:19" ht="28.5" customHeight="1" x14ac:dyDescent="0.35">
      <c r="A63" s="1" t="s">
        <v>9</v>
      </c>
      <c r="B63" s="1" t="s">
        <v>191</v>
      </c>
      <c r="C63" s="222" t="s">
        <v>192</v>
      </c>
      <c r="D63" s="71" t="s">
        <v>920</v>
      </c>
      <c r="E63" s="82" t="s">
        <v>193</v>
      </c>
      <c r="F63" s="623" t="e">
        <f ca="1">_xll.JChemExcel.Functions.JCSYSStructure("BE0F8FD13B9E4B2462BE4C853437E456")</f>
        <v>#NAME?</v>
      </c>
      <c r="G63" s="282"/>
      <c r="H63" s="16">
        <v>0</v>
      </c>
      <c r="I63" s="17">
        <v>0</v>
      </c>
      <c r="J63" s="18">
        <v>0</v>
      </c>
      <c r="K63" s="19">
        <v>0.27272727272727265</v>
      </c>
      <c r="L63" s="20">
        <v>0.44999999999999996</v>
      </c>
      <c r="M63" s="21">
        <v>0.50909090909090982</v>
      </c>
      <c r="N63" s="30">
        <v>90.681437284021712</v>
      </c>
      <c r="O63" s="227">
        <v>13.900466482575638</v>
      </c>
      <c r="P63" s="239"/>
      <c r="Q63" s="239"/>
      <c r="R63" s="306"/>
      <c r="S63" s="306"/>
    </row>
    <row r="64" spans="1:19" ht="28.5" customHeight="1" x14ac:dyDescent="0.35">
      <c r="A64" s="1" t="s">
        <v>9</v>
      </c>
      <c r="B64" s="1" t="s">
        <v>194</v>
      </c>
      <c r="C64" s="222" t="s">
        <v>195</v>
      </c>
      <c r="D64" s="71" t="s">
        <v>920</v>
      </c>
      <c r="E64" s="82" t="s">
        <v>196</v>
      </c>
      <c r="F64" s="623" t="e">
        <f ca="1">_xll.JChemExcel.Functions.JCSYSStructure("A8D0F8FB969AED0352ACCE65A9DBC1BF")</f>
        <v>#NAME?</v>
      </c>
      <c r="G64" s="282"/>
      <c r="H64" s="16">
        <v>0</v>
      </c>
      <c r="I64" s="17">
        <v>0</v>
      </c>
      <c r="J64" s="18">
        <v>0</v>
      </c>
      <c r="K64" s="19">
        <v>0.13636363636363641</v>
      </c>
      <c r="L64" s="20">
        <v>0.4</v>
      </c>
      <c r="M64" s="21">
        <v>0.34545454545454646</v>
      </c>
      <c r="N64" s="30">
        <v>109.10234518210117</v>
      </c>
      <c r="O64" s="227">
        <v>27.897894362008856</v>
      </c>
      <c r="P64" s="239"/>
      <c r="Q64" s="239"/>
      <c r="R64" s="306"/>
      <c r="S64" s="306"/>
    </row>
    <row r="65" spans="1:20" ht="28.5" customHeight="1" x14ac:dyDescent="0.35">
      <c r="A65" s="1" t="s">
        <v>9</v>
      </c>
      <c r="B65" s="1" t="s">
        <v>197</v>
      </c>
      <c r="C65" s="222" t="s">
        <v>198</v>
      </c>
      <c r="D65" s="71" t="s">
        <v>919</v>
      </c>
      <c r="E65" s="82" t="s">
        <v>199</v>
      </c>
      <c r="F65" s="623" t="e">
        <f ca="1">_xll.JChemExcel.Functions.JCSYSStructure("A7311B1A95BFB18DCDAAE7FB08D2BE46")</f>
        <v>#NAME?</v>
      </c>
      <c r="G65" s="282"/>
      <c r="H65" s="16">
        <v>0</v>
      </c>
      <c r="I65" s="17">
        <v>0</v>
      </c>
      <c r="J65" s="18">
        <v>0</v>
      </c>
      <c r="K65" s="19">
        <v>0.22727272727272735</v>
      </c>
      <c r="L65" s="20">
        <v>0.2</v>
      </c>
      <c r="M65" s="21">
        <v>0.23636363636363755</v>
      </c>
      <c r="N65" s="30">
        <v>84.241710553168389</v>
      </c>
      <c r="O65" s="227">
        <v>24.547943273329654</v>
      </c>
      <c r="P65" s="239"/>
      <c r="Q65" s="239"/>
      <c r="R65" s="306"/>
      <c r="S65" s="306"/>
    </row>
    <row r="66" spans="1:20" ht="28.5" customHeight="1" x14ac:dyDescent="0.35">
      <c r="A66" s="1" t="s">
        <v>9</v>
      </c>
      <c r="B66" s="1" t="s">
        <v>200</v>
      </c>
      <c r="C66" s="222" t="s">
        <v>201</v>
      </c>
      <c r="D66" s="71" t="s">
        <v>919</v>
      </c>
      <c r="E66" s="82" t="s">
        <v>202</v>
      </c>
      <c r="F66" s="623" t="e">
        <f ca="1">_xll.JChemExcel.Functions.JCSYSStructure("801887DEA4FC181DA1E0858171EEEE53")</f>
        <v>#NAME?</v>
      </c>
      <c r="G66" s="282"/>
      <c r="H66" s="16">
        <v>1</v>
      </c>
      <c r="I66" s="17">
        <v>0</v>
      </c>
      <c r="J66" s="18">
        <v>0</v>
      </c>
      <c r="K66" s="19">
        <v>0.13636363636363641</v>
      </c>
      <c r="L66" s="20">
        <v>0.2</v>
      </c>
      <c r="M66" s="21">
        <v>0.18181818181818302</v>
      </c>
      <c r="N66" s="30">
        <v>86.706399051846091</v>
      </c>
      <c r="O66" s="227">
        <v>3.9261993726717943</v>
      </c>
      <c r="P66" s="239"/>
      <c r="Q66" s="239"/>
      <c r="R66" s="306"/>
      <c r="S66" s="306"/>
    </row>
    <row r="67" spans="1:20" ht="28.5" customHeight="1" x14ac:dyDescent="0.35">
      <c r="A67" s="1" t="s">
        <v>9</v>
      </c>
      <c r="B67" s="1" t="s">
        <v>203</v>
      </c>
      <c r="C67" s="222" t="s">
        <v>204</v>
      </c>
      <c r="D67" s="71" t="s">
        <v>916</v>
      </c>
      <c r="E67" s="82" t="s">
        <v>205</v>
      </c>
      <c r="F67" s="623" t="e">
        <f ca="1">_xll.JChemExcel.Functions.JCSYSStructure("512734CBDFB9E942A9FFDA37A5C189D8")</f>
        <v>#NAME?</v>
      </c>
      <c r="G67" s="282"/>
      <c r="H67" s="16">
        <v>2</v>
      </c>
      <c r="I67" s="17">
        <v>0</v>
      </c>
      <c r="J67" s="18">
        <v>0</v>
      </c>
      <c r="K67" s="19">
        <v>4.545454545454547E-2</v>
      </c>
      <c r="L67" s="20">
        <v>0.05</v>
      </c>
      <c r="M67" s="21">
        <v>7.2727272727274084E-2</v>
      </c>
      <c r="N67" s="30">
        <v>87.931601524734049</v>
      </c>
      <c r="O67" s="227">
        <v>1.8084194413594943</v>
      </c>
      <c r="P67" s="239"/>
      <c r="Q67" s="239"/>
      <c r="R67" s="306"/>
      <c r="S67" s="306"/>
    </row>
    <row r="68" spans="1:20" ht="28.5" customHeight="1" x14ac:dyDescent="0.35">
      <c r="A68" s="1" t="s">
        <v>9</v>
      </c>
      <c r="B68" s="1" t="s">
        <v>206</v>
      </c>
      <c r="C68" s="222" t="s">
        <v>207</v>
      </c>
      <c r="D68" s="71" t="s">
        <v>916</v>
      </c>
      <c r="E68" s="82" t="s">
        <v>208</v>
      </c>
      <c r="F68" s="623" t="e">
        <f ca="1">_xll.JChemExcel.Functions.JCSYSStructure("C5730D8212142411B6D35D6E6F09EAA1")</f>
        <v>#NAME?</v>
      </c>
      <c r="G68" s="282"/>
      <c r="H68" s="16">
        <v>0</v>
      </c>
      <c r="I68" s="17">
        <v>0</v>
      </c>
      <c r="J68" s="18">
        <v>0</v>
      </c>
      <c r="K68" s="19">
        <v>9.0909090909090939E-2</v>
      </c>
      <c r="L68" s="20">
        <v>0.1</v>
      </c>
      <c r="M68" s="21">
        <v>0.12727272727272848</v>
      </c>
      <c r="N68" s="30">
        <v>61.78393618052155</v>
      </c>
      <c r="O68" s="227">
        <v>10.868359026701961</v>
      </c>
      <c r="P68" s="239"/>
      <c r="Q68" s="239"/>
      <c r="R68" s="306"/>
      <c r="S68" s="306"/>
      <c r="T68" s="313" t="s">
        <v>2022</v>
      </c>
    </row>
    <row r="69" spans="1:20" ht="28.5" customHeight="1" x14ac:dyDescent="0.5">
      <c r="A69" s="1" t="s">
        <v>9</v>
      </c>
      <c r="B69" s="1" t="s">
        <v>209</v>
      </c>
      <c r="C69" s="222" t="s">
        <v>210</v>
      </c>
      <c r="D69" s="71" t="s">
        <v>916</v>
      </c>
      <c r="E69" s="82" t="s">
        <v>211</v>
      </c>
      <c r="F69" s="623" t="e">
        <f ca="1">_xll.JChemExcel.Functions.JCSYSStructure("6F814EE11B1BF33143AE6DC6D392B240")</f>
        <v>#NAME?</v>
      </c>
      <c r="G69" s="282"/>
      <c r="H69" s="16">
        <v>0</v>
      </c>
      <c r="I69" s="17">
        <v>0</v>
      </c>
      <c r="J69" s="18">
        <v>0</v>
      </c>
      <c r="K69" s="19">
        <v>0.13636363636363641</v>
      </c>
      <c r="L69" s="20">
        <v>0.3</v>
      </c>
      <c r="M69" s="21">
        <v>0.34545454545454646</v>
      </c>
      <c r="N69" s="30">
        <v>93.555413033409607</v>
      </c>
      <c r="O69" s="227">
        <v>20.810887358643534</v>
      </c>
      <c r="P69" s="239"/>
      <c r="Q69" s="239"/>
      <c r="R69" s="306"/>
      <c r="S69" s="306"/>
      <c r="T69" s="314" t="s">
        <v>1976</v>
      </c>
    </row>
    <row r="70" spans="1:20" ht="28.5" customHeight="1" x14ac:dyDescent="0.35">
      <c r="A70" s="1" t="s">
        <v>9</v>
      </c>
      <c r="B70" s="1" t="s">
        <v>212</v>
      </c>
      <c r="C70" s="222" t="s">
        <v>213</v>
      </c>
      <c r="D70" s="71" t="s">
        <v>916</v>
      </c>
      <c r="E70" s="82" t="s">
        <v>214</v>
      </c>
      <c r="F70" s="623" t="e">
        <f ca="1">_xll.JChemExcel.Functions.JCSYSStructure("0CF57A349C555B5A187FBBB10089532B")</f>
        <v>#NAME?</v>
      </c>
      <c r="G70" s="282"/>
      <c r="H70" s="16">
        <v>0</v>
      </c>
      <c r="I70" s="17">
        <v>0</v>
      </c>
      <c r="J70" s="18">
        <v>0</v>
      </c>
      <c r="K70" s="19">
        <v>0.13636363636363641</v>
      </c>
      <c r="L70" s="20">
        <v>0.2</v>
      </c>
      <c r="M70" s="21">
        <v>0.18181818181818302</v>
      </c>
      <c r="N70" s="30">
        <v>89.609788041342114</v>
      </c>
      <c r="O70" s="227">
        <v>5.0187939831478605</v>
      </c>
      <c r="P70" s="239"/>
      <c r="Q70" s="239"/>
      <c r="R70" s="306"/>
      <c r="S70" s="306"/>
      <c r="T70" s="313" t="s">
        <v>1974</v>
      </c>
    </row>
    <row r="71" spans="1:20" ht="28.5" customHeight="1" x14ac:dyDescent="0.35">
      <c r="A71" s="1" t="s">
        <v>9</v>
      </c>
      <c r="B71" s="1" t="s">
        <v>215</v>
      </c>
      <c r="C71" s="222" t="s">
        <v>216</v>
      </c>
      <c r="D71" s="71" t="s">
        <v>916</v>
      </c>
      <c r="E71" s="82" t="s">
        <v>217</v>
      </c>
      <c r="F71" s="623" t="e">
        <f ca="1">_xll.JChemExcel.Functions.JCSYSStructure("DC8053192D9BDC4CA7D2B96D4229DF0F")</f>
        <v>#NAME?</v>
      </c>
      <c r="G71" s="282"/>
      <c r="H71" s="16">
        <v>4</v>
      </c>
      <c r="I71" s="17">
        <v>4</v>
      </c>
      <c r="J71" s="18">
        <v>4</v>
      </c>
      <c r="K71" s="19">
        <v>0.54545454545454541</v>
      </c>
      <c r="L71" s="20">
        <v>0.8</v>
      </c>
      <c r="M71" s="21">
        <v>0.56363636363636427</v>
      </c>
      <c r="N71" s="319">
        <v>89.379184418746178</v>
      </c>
      <c r="O71" s="227">
        <v>6.7997126566189898</v>
      </c>
      <c r="P71" s="239"/>
      <c r="Q71" s="239"/>
      <c r="R71" s="306"/>
      <c r="S71" s="306"/>
      <c r="T71" s="313" t="s">
        <v>1975</v>
      </c>
    </row>
    <row r="72" spans="1:20" ht="28.5" customHeight="1" x14ac:dyDescent="0.35">
      <c r="A72" s="1" t="s">
        <v>9</v>
      </c>
      <c r="B72" s="1" t="s">
        <v>218</v>
      </c>
      <c r="C72" s="222" t="s">
        <v>219</v>
      </c>
      <c r="D72" s="71" t="s">
        <v>916</v>
      </c>
      <c r="E72" s="82" t="s">
        <v>220</v>
      </c>
      <c r="F72" s="623" t="e">
        <f ca="1">_xll.JChemExcel.Functions.JCSYSStructure("7E77EFD7256AF1233B92C0553A9BBA85")</f>
        <v>#NAME?</v>
      </c>
      <c r="G72" s="282"/>
      <c r="H72" s="16">
        <v>0</v>
      </c>
      <c r="I72" s="17">
        <v>0</v>
      </c>
      <c r="J72" s="18">
        <v>0</v>
      </c>
      <c r="K72" s="19">
        <v>0.18181818181818174</v>
      </c>
      <c r="L72" s="20">
        <v>0.44999999999999996</v>
      </c>
      <c r="M72" s="21">
        <v>0.40000000000000091</v>
      </c>
      <c r="N72" s="30">
        <v>176.20756460185055</v>
      </c>
      <c r="O72" s="227">
        <v>13.478916250324193</v>
      </c>
      <c r="P72" s="239"/>
      <c r="Q72" s="239"/>
      <c r="R72" s="241">
        <v>1</v>
      </c>
      <c r="S72" s="241"/>
    </row>
    <row r="73" spans="1:20" ht="28.5" customHeight="1" x14ac:dyDescent="0.35">
      <c r="A73" s="1" t="s">
        <v>9</v>
      </c>
      <c r="B73" s="1" t="s">
        <v>221</v>
      </c>
      <c r="C73" s="222" t="s">
        <v>222</v>
      </c>
      <c r="D73" s="71" t="s">
        <v>923</v>
      </c>
      <c r="E73" s="82" t="s">
        <v>223</v>
      </c>
      <c r="F73" s="623" t="e">
        <f ca="1">_xll.JChemExcel.Functions.JCSYSStructure("92413F9EAA8DC7AD4D31DA7CCE93F156")</f>
        <v>#NAME?</v>
      </c>
      <c r="G73" s="282"/>
      <c r="H73" s="16">
        <v>1</v>
      </c>
      <c r="I73" s="17">
        <v>1</v>
      </c>
      <c r="J73" s="18">
        <v>1</v>
      </c>
      <c r="K73" s="19">
        <v>0.40909090909090906</v>
      </c>
      <c r="L73" s="20">
        <v>0.44999999999999996</v>
      </c>
      <c r="M73" s="21">
        <v>0.45454545454545536</v>
      </c>
      <c r="N73" s="30">
        <v>89.07156603947297</v>
      </c>
      <c r="O73" s="227">
        <v>18.487660095297915</v>
      </c>
      <c r="P73" s="239"/>
      <c r="Q73" s="239"/>
      <c r="R73" s="306"/>
      <c r="S73" s="306"/>
    </row>
    <row r="74" spans="1:20" ht="28.5" customHeight="1" x14ac:dyDescent="0.35">
      <c r="A74" s="1" t="s">
        <v>9</v>
      </c>
      <c r="B74" s="1" t="s">
        <v>224</v>
      </c>
      <c r="C74" s="222" t="s">
        <v>225</v>
      </c>
      <c r="D74" s="71" t="s">
        <v>919</v>
      </c>
      <c r="E74" s="82" t="s">
        <v>226</v>
      </c>
      <c r="F74" s="623" t="e">
        <f ca="1">_xll.JChemExcel.Functions.JCSYSStructure("1991619BA691DBD8D44947D22213A7F7")</f>
        <v>#NAME?</v>
      </c>
      <c r="G74" s="282"/>
      <c r="H74" s="16">
        <v>1</v>
      </c>
      <c r="I74" s="17">
        <v>0</v>
      </c>
      <c r="J74" s="18">
        <v>0</v>
      </c>
      <c r="K74" s="19">
        <v>0.27272727272727265</v>
      </c>
      <c r="L74" s="20">
        <v>0.4</v>
      </c>
      <c r="M74" s="21">
        <v>0.40000000000000091</v>
      </c>
      <c r="N74" s="30">
        <v>91.809394750058999</v>
      </c>
      <c r="O74" s="227">
        <v>25.205539982615306</v>
      </c>
      <c r="P74" s="239"/>
      <c r="Q74" s="239"/>
      <c r="R74" s="306"/>
      <c r="S74" s="306"/>
    </row>
    <row r="75" spans="1:20" ht="28.5" customHeight="1" x14ac:dyDescent="0.35">
      <c r="A75" s="1" t="s">
        <v>9</v>
      </c>
      <c r="B75" s="1" t="s">
        <v>227</v>
      </c>
      <c r="C75" s="222" t="s">
        <v>228</v>
      </c>
      <c r="D75" s="71" t="s">
        <v>919</v>
      </c>
      <c r="E75" s="82" t="s">
        <v>229</v>
      </c>
      <c r="F75" s="623" t="e">
        <f ca="1">_xll.JChemExcel.Functions.JCSYSStructure("77783CF02A7D45D68F4964591D2EFDE4")</f>
        <v>#NAME?</v>
      </c>
      <c r="G75" s="282"/>
      <c r="H75" s="16">
        <v>0</v>
      </c>
      <c r="I75" s="17">
        <v>0</v>
      </c>
      <c r="J75" s="18">
        <v>0</v>
      </c>
      <c r="K75" s="19">
        <v>0.40909090909090906</v>
      </c>
      <c r="L75" s="20">
        <v>0.44999999999999996</v>
      </c>
      <c r="M75" s="21">
        <v>0.50909090909090982</v>
      </c>
      <c r="N75" s="30">
        <v>113.44716425138975</v>
      </c>
      <c r="O75" s="227">
        <v>32.535687678196858</v>
      </c>
      <c r="P75" s="239"/>
      <c r="Q75" s="239"/>
      <c r="R75" s="306"/>
      <c r="S75" s="306"/>
    </row>
    <row r="76" spans="1:20" ht="28.5" customHeight="1" x14ac:dyDescent="0.35">
      <c r="A76" s="1" t="s">
        <v>9</v>
      </c>
      <c r="B76" s="1" t="s">
        <v>230</v>
      </c>
      <c r="C76" s="222" t="s">
        <v>231</v>
      </c>
      <c r="D76" s="71" t="s">
        <v>919</v>
      </c>
      <c r="E76" s="82" t="s">
        <v>232</v>
      </c>
      <c r="F76" s="623" t="e">
        <f ca="1">_xll.JChemExcel.Functions.JCSYSStructure("3D6785E919FB443EFC1A31FD8AFC0A90")</f>
        <v>#NAME?</v>
      </c>
      <c r="G76" s="282"/>
      <c r="H76" s="16">
        <v>0</v>
      </c>
      <c r="I76" s="17">
        <v>1</v>
      </c>
      <c r="J76" s="18">
        <v>0</v>
      </c>
      <c r="K76" s="19">
        <v>0.18181818181818174</v>
      </c>
      <c r="L76" s="20">
        <v>0.4</v>
      </c>
      <c r="M76" s="21">
        <v>0.40000000000000091</v>
      </c>
      <c r="N76" s="30">
        <v>105.60694422423688</v>
      </c>
      <c r="O76" s="227">
        <v>23.791711331274655</v>
      </c>
      <c r="P76" s="239"/>
      <c r="Q76" s="239"/>
      <c r="R76" s="306"/>
      <c r="S76" s="306"/>
    </row>
    <row r="77" spans="1:20" ht="28.5" customHeight="1" x14ac:dyDescent="0.35">
      <c r="A77" s="1" t="s">
        <v>9</v>
      </c>
      <c r="B77" s="1" t="s">
        <v>233</v>
      </c>
      <c r="C77" s="222" t="s">
        <v>234</v>
      </c>
      <c r="D77" s="71" t="s">
        <v>916</v>
      </c>
      <c r="E77" s="82" t="s">
        <v>235</v>
      </c>
      <c r="F77" s="623" t="e">
        <f ca="1">_xll.JChemExcel.Functions.JCSYSStructure("8040E16E39D981203B36A84E6283D2C0")</f>
        <v>#NAME?</v>
      </c>
      <c r="G77" s="282"/>
      <c r="H77" s="16">
        <v>1</v>
      </c>
      <c r="I77" s="17">
        <v>0</v>
      </c>
      <c r="J77" s="18">
        <v>0</v>
      </c>
      <c r="K77" s="19">
        <v>0.18181818181818174</v>
      </c>
      <c r="L77" s="20">
        <v>0.4</v>
      </c>
      <c r="M77" s="21">
        <v>0.45454545454545536</v>
      </c>
      <c r="N77" s="30">
        <v>91.222781924395491</v>
      </c>
      <c r="O77" s="227">
        <v>5.6257909889678679</v>
      </c>
      <c r="P77" s="239"/>
      <c r="Q77" s="239"/>
      <c r="R77" s="306"/>
      <c r="S77" s="306"/>
    </row>
    <row r="78" spans="1:20" ht="28.5" customHeight="1" x14ac:dyDescent="0.35">
      <c r="A78" s="1" t="s">
        <v>9</v>
      </c>
      <c r="B78" s="1" t="s">
        <v>236</v>
      </c>
      <c r="C78" s="222" t="s">
        <v>237</v>
      </c>
      <c r="D78" s="71" t="s">
        <v>916</v>
      </c>
      <c r="E78" s="82" t="s">
        <v>238</v>
      </c>
      <c r="F78" s="623" t="e">
        <f ca="1">_xll.JChemExcel.Functions.JCSYSStructure("C366D9E71FD601E4A85FB2A8DFFB6C62")</f>
        <v>#NAME?</v>
      </c>
      <c r="G78" s="282"/>
      <c r="H78" s="16">
        <v>0</v>
      </c>
      <c r="I78" s="17">
        <v>0</v>
      </c>
      <c r="J78" s="18">
        <v>0</v>
      </c>
      <c r="K78" s="19">
        <v>0.18181818181818174</v>
      </c>
      <c r="L78" s="20">
        <v>0.35</v>
      </c>
      <c r="M78" s="21">
        <v>0.34545454545454646</v>
      </c>
      <c r="N78" s="30">
        <v>97.183959267900434</v>
      </c>
      <c r="O78" s="227">
        <v>23.76606958965365</v>
      </c>
      <c r="P78" s="239"/>
      <c r="Q78" s="239"/>
      <c r="R78" s="306"/>
      <c r="S78" s="306"/>
    </row>
    <row r="79" spans="1:20" ht="28.5" customHeight="1" x14ac:dyDescent="0.35">
      <c r="A79" s="1" t="s">
        <v>9</v>
      </c>
      <c r="B79" s="1" t="s">
        <v>239</v>
      </c>
      <c r="C79" s="222" t="s">
        <v>240</v>
      </c>
      <c r="D79" s="71" t="s">
        <v>916</v>
      </c>
      <c r="E79" s="82" t="s">
        <v>241</v>
      </c>
      <c r="F79" s="623" t="e">
        <f ca="1">_xll.JChemExcel.Functions.JCSYSStructure("035A10A7B99EE486CAD6CD8C021D34B6")</f>
        <v>#NAME?</v>
      </c>
      <c r="G79" s="282"/>
      <c r="H79" s="16">
        <v>0</v>
      </c>
      <c r="I79" s="17">
        <v>0</v>
      </c>
      <c r="J79" s="18">
        <v>0</v>
      </c>
      <c r="K79" s="19">
        <v>0.13636363636363641</v>
      </c>
      <c r="L79" s="20">
        <v>0.2</v>
      </c>
      <c r="M79" s="21">
        <v>0.18181818181818302</v>
      </c>
      <c r="N79" s="30">
        <v>75.951508244470773</v>
      </c>
      <c r="O79" s="227">
        <v>11.819354241781429</v>
      </c>
      <c r="P79" s="239"/>
      <c r="Q79" s="239"/>
      <c r="R79" s="306"/>
      <c r="S79" s="306"/>
    </row>
    <row r="80" spans="1:20" ht="28.5" customHeight="1" x14ac:dyDescent="0.35">
      <c r="A80" s="4" t="s">
        <v>9</v>
      </c>
      <c r="B80" s="4" t="s">
        <v>242</v>
      </c>
      <c r="C80" s="223" t="s">
        <v>243</v>
      </c>
      <c r="D80" s="71" t="s">
        <v>916</v>
      </c>
      <c r="E80" s="82" t="s">
        <v>244</v>
      </c>
      <c r="F80" s="623" t="e">
        <f ca="1">_xll.JChemExcel.Functions.JCSYSStructure("B1EB1F680A748F0D0FE2945F0C853E14")</f>
        <v>#NAME?</v>
      </c>
      <c r="G80" s="282"/>
      <c r="H80" s="24">
        <v>2</v>
      </c>
      <c r="I80" s="25">
        <v>4</v>
      </c>
      <c r="J80" s="26">
        <v>4</v>
      </c>
      <c r="K80" s="27">
        <v>1</v>
      </c>
      <c r="L80" s="28">
        <v>1</v>
      </c>
      <c r="M80" s="29">
        <v>1</v>
      </c>
      <c r="N80" s="30">
        <v>0.61491299624011919</v>
      </c>
      <c r="O80" s="227">
        <v>1.8740907907336424</v>
      </c>
      <c r="P80" s="239">
        <v>1</v>
      </c>
      <c r="Q80" s="239"/>
      <c r="R80" s="306"/>
      <c r="S80" s="306"/>
    </row>
    <row r="81" spans="1:19" ht="28.5" customHeight="1" x14ac:dyDescent="0.35">
      <c r="A81" s="1" t="s">
        <v>9</v>
      </c>
      <c r="B81" s="1" t="s">
        <v>245</v>
      </c>
      <c r="C81" s="222" t="s">
        <v>246</v>
      </c>
      <c r="D81" s="71" t="s">
        <v>916</v>
      </c>
      <c r="E81" s="82" t="s">
        <v>247</v>
      </c>
      <c r="F81" s="623" t="e">
        <f ca="1">_xll.JChemExcel.Functions.JCSYSStructure("626A7F1FA45EB8C33542A6A85BEBB0C2")</f>
        <v>#NAME?</v>
      </c>
      <c r="G81" s="282"/>
      <c r="H81" s="16">
        <v>0</v>
      </c>
      <c r="I81" s="17">
        <v>0</v>
      </c>
      <c r="J81" s="18">
        <v>0</v>
      </c>
      <c r="K81" s="19">
        <v>0.18181818181818174</v>
      </c>
      <c r="L81" s="20">
        <v>0.15</v>
      </c>
      <c r="M81" s="21">
        <v>0.23636363636363755</v>
      </c>
      <c r="N81" s="30">
        <v>109.52710460295052</v>
      </c>
      <c r="O81" s="227">
        <v>17.372315561839144</v>
      </c>
      <c r="P81" s="239"/>
      <c r="Q81" s="239"/>
      <c r="R81" s="306"/>
      <c r="S81" s="306"/>
    </row>
    <row r="82" spans="1:19" ht="28.5" customHeight="1" x14ac:dyDescent="0.35">
      <c r="A82" s="5" t="s">
        <v>9</v>
      </c>
      <c r="B82" s="5" t="s">
        <v>248</v>
      </c>
      <c r="C82" s="222" t="s">
        <v>249</v>
      </c>
      <c r="D82" s="71" t="s">
        <v>916</v>
      </c>
      <c r="E82" s="82" t="s">
        <v>250</v>
      </c>
      <c r="F82" s="623" t="e">
        <f ca="1">_xll.JChemExcel.Functions.JCSYSStructure("3285D16C3B40C510B7876681D5CC47E9")</f>
        <v>#NAME?</v>
      </c>
      <c r="G82" s="282"/>
      <c r="H82" s="16">
        <v>0</v>
      </c>
      <c r="I82" s="17">
        <v>0</v>
      </c>
      <c r="J82" s="18">
        <v>0</v>
      </c>
      <c r="K82" s="19">
        <v>9.0909090909090939E-2</v>
      </c>
      <c r="L82" s="20">
        <v>0.15</v>
      </c>
      <c r="M82" s="21">
        <v>0.23636363636363755</v>
      </c>
      <c r="N82" s="30">
        <v>68.661517267888726</v>
      </c>
      <c r="O82" s="227">
        <v>5.0193210633923977</v>
      </c>
      <c r="P82" s="239"/>
      <c r="Q82" s="239"/>
      <c r="R82" s="306"/>
      <c r="S82" s="306"/>
    </row>
    <row r="83" spans="1:19" ht="28.5" customHeight="1" x14ac:dyDescent="0.35">
      <c r="A83" s="1" t="s">
        <v>251</v>
      </c>
      <c r="B83" s="1" t="s">
        <v>10</v>
      </c>
      <c r="C83" s="222" t="s">
        <v>252</v>
      </c>
      <c r="D83" s="71" t="s">
        <v>925</v>
      </c>
      <c r="E83" s="82" t="s">
        <v>253</v>
      </c>
      <c r="F83" s="623" t="e">
        <f ca="1">_xll.JChemExcel.Functions.JCSYSStructure("19951D6468E215529B4CAB8FE2EC5D87")</f>
        <v>#NAME?</v>
      </c>
      <c r="G83" s="282"/>
      <c r="H83" s="16">
        <v>0</v>
      </c>
      <c r="I83" s="17">
        <v>3</v>
      </c>
      <c r="J83" s="18">
        <v>2</v>
      </c>
      <c r="K83" s="19">
        <v>0.4</v>
      </c>
      <c r="L83" s="20">
        <v>0.22222222222222215</v>
      </c>
      <c r="M83" s="21">
        <v>0.55555555555555558</v>
      </c>
      <c r="N83" s="319">
        <v>76.293365794278742</v>
      </c>
      <c r="O83" s="227">
        <v>7.3337087454022711</v>
      </c>
      <c r="P83" s="239"/>
      <c r="Q83" s="239"/>
      <c r="R83" s="306"/>
      <c r="S83" s="306"/>
    </row>
    <row r="84" spans="1:19" ht="28.5" customHeight="1" x14ac:dyDescent="0.35">
      <c r="A84" s="1" t="s">
        <v>251</v>
      </c>
      <c r="B84" s="1" t="s">
        <v>13</v>
      </c>
      <c r="C84" s="222" t="s">
        <v>254</v>
      </c>
      <c r="D84" s="71" t="s">
        <v>919</v>
      </c>
      <c r="E84" s="82" t="s">
        <v>255</v>
      </c>
      <c r="F84" s="623" t="e">
        <f ca="1">_xll.JChemExcel.Functions.JCSYSStructure("E4958F3A377BC21F317A1F47624F1B01")</f>
        <v>#NAME?</v>
      </c>
      <c r="G84" s="282"/>
      <c r="H84" s="16">
        <v>0</v>
      </c>
      <c r="I84" s="17">
        <v>0</v>
      </c>
      <c r="J84" s="18">
        <v>0</v>
      </c>
      <c r="K84" s="19">
        <v>0.1</v>
      </c>
      <c r="L84" s="20">
        <v>5.5555555555555573E-2</v>
      </c>
      <c r="M84" s="21">
        <v>0.16666666666666657</v>
      </c>
      <c r="N84" s="30">
        <v>71.084182015576602</v>
      </c>
      <c r="O84" s="227">
        <v>6.5805995137752422</v>
      </c>
      <c r="P84" s="239"/>
      <c r="Q84" s="239"/>
      <c r="R84" s="306"/>
      <c r="S84" s="306"/>
    </row>
    <row r="85" spans="1:19" ht="28.5" customHeight="1" x14ac:dyDescent="0.35">
      <c r="A85" s="1" t="s">
        <v>251</v>
      </c>
      <c r="B85" s="1" t="s">
        <v>16</v>
      </c>
      <c r="C85" s="222" t="s">
        <v>256</v>
      </c>
      <c r="D85" s="72" t="s">
        <v>993</v>
      </c>
      <c r="E85" s="82" t="s">
        <v>257</v>
      </c>
      <c r="F85" s="623" t="e">
        <f ca="1">_xll.JChemExcel.Functions.JCSYSStructure("2CEF2416B5451D143023A05CE9E570CC")</f>
        <v>#NAME?</v>
      </c>
      <c r="G85" s="282" t="s">
        <v>950</v>
      </c>
      <c r="H85" s="16">
        <v>0</v>
      </c>
      <c r="I85" s="17">
        <v>0</v>
      </c>
      <c r="J85" s="18">
        <v>0</v>
      </c>
      <c r="K85" s="32">
        <v>0</v>
      </c>
      <c r="L85" s="33">
        <v>0</v>
      </c>
      <c r="M85" s="34">
        <v>0</v>
      </c>
      <c r="N85" s="42">
        <v>81.871363204859364</v>
      </c>
      <c r="O85" s="227">
        <v>2.0008801044005291</v>
      </c>
      <c r="P85" s="239"/>
      <c r="Q85" s="239"/>
      <c r="R85" s="306"/>
      <c r="S85" s="306"/>
    </row>
    <row r="86" spans="1:19" ht="28.5" customHeight="1" x14ac:dyDescent="0.35">
      <c r="A86" s="1" t="s">
        <v>251</v>
      </c>
      <c r="B86" s="1" t="s">
        <v>19</v>
      </c>
      <c r="C86" s="222" t="s">
        <v>258</v>
      </c>
      <c r="D86" s="71" t="s">
        <v>918</v>
      </c>
      <c r="E86" s="82" t="s">
        <v>259</v>
      </c>
      <c r="F86" s="623" t="e">
        <f ca="1">_xll.JChemExcel.Functions.JCSYSStructure("AC4F0E01DEBDFDDD41054251E0A6CC52")</f>
        <v>#NAME?</v>
      </c>
      <c r="G86" s="282"/>
      <c r="H86" s="16">
        <v>1</v>
      </c>
      <c r="I86" s="17">
        <v>0</v>
      </c>
      <c r="J86" s="18">
        <v>1</v>
      </c>
      <c r="K86" s="19">
        <v>0.25</v>
      </c>
      <c r="L86" s="20">
        <v>0.22222222222222215</v>
      </c>
      <c r="M86" s="21">
        <v>0.33333333333333343</v>
      </c>
      <c r="N86" s="30">
        <v>72.51320895020072</v>
      </c>
      <c r="O86" s="227">
        <v>12.995604033328943</v>
      </c>
      <c r="P86" s="239"/>
      <c r="Q86" s="239"/>
      <c r="R86" s="306"/>
      <c r="S86" s="306"/>
    </row>
    <row r="87" spans="1:19" ht="28.5" customHeight="1" x14ac:dyDescent="0.35">
      <c r="A87" s="1" t="s">
        <v>251</v>
      </c>
      <c r="B87" s="1" t="s">
        <v>23</v>
      </c>
      <c r="C87" s="222" t="s">
        <v>260</v>
      </c>
      <c r="D87" s="71" t="s">
        <v>938</v>
      </c>
      <c r="E87" s="82" t="s">
        <v>261</v>
      </c>
      <c r="F87" s="623" t="e">
        <f ca="1">_xll.JChemExcel.Functions.JCSYSStructure("3090BDC7E33DE5CA6DBBD4B41591E08E")</f>
        <v>#NAME?</v>
      </c>
      <c r="G87" s="282"/>
      <c r="H87" s="16">
        <v>0</v>
      </c>
      <c r="I87" s="17">
        <v>0</v>
      </c>
      <c r="J87" s="18">
        <v>0</v>
      </c>
      <c r="K87" s="19">
        <v>0.1</v>
      </c>
      <c r="L87" s="20">
        <v>0.16666666666666657</v>
      </c>
      <c r="M87" s="21">
        <v>0.38888888888888884</v>
      </c>
      <c r="N87" s="30">
        <v>44.330744830731653</v>
      </c>
      <c r="O87" s="227">
        <v>2.3410968587205505</v>
      </c>
      <c r="P87" s="239"/>
      <c r="Q87" s="239">
        <v>1</v>
      </c>
      <c r="R87" s="306"/>
      <c r="S87" s="306"/>
    </row>
    <row r="88" spans="1:19" ht="28.5" customHeight="1" x14ac:dyDescent="0.35">
      <c r="A88" s="1" t="s">
        <v>251</v>
      </c>
      <c r="B88" s="1" t="s">
        <v>26</v>
      </c>
      <c r="C88" s="222" t="s">
        <v>262</v>
      </c>
      <c r="D88" s="71" t="s">
        <v>918</v>
      </c>
      <c r="E88" s="82" t="s">
        <v>263</v>
      </c>
      <c r="F88" s="623" t="e">
        <f ca="1">_xll.JChemExcel.Functions.JCSYSStructure("C87FB89EAB74CE241F9F25502982A38B")</f>
        <v>#NAME?</v>
      </c>
      <c r="G88" s="282"/>
      <c r="H88" s="16">
        <v>3</v>
      </c>
      <c r="I88" s="17">
        <v>4</v>
      </c>
      <c r="J88" s="18">
        <v>4</v>
      </c>
      <c r="K88" s="32">
        <v>0.27272727272727265</v>
      </c>
      <c r="L88" s="33">
        <v>0.4</v>
      </c>
      <c r="M88" s="34">
        <v>0.27777777777777785</v>
      </c>
      <c r="N88" s="42">
        <v>50.794506277859881</v>
      </c>
      <c r="O88" s="227">
        <v>7.2352964819797769</v>
      </c>
      <c r="P88" s="239"/>
      <c r="Q88" s="239"/>
      <c r="R88" s="306"/>
      <c r="S88" s="306"/>
    </row>
    <row r="89" spans="1:19" ht="28.5" customHeight="1" x14ac:dyDescent="0.35">
      <c r="A89" s="1" t="s">
        <v>251</v>
      </c>
      <c r="B89" s="1" t="s">
        <v>29</v>
      </c>
      <c r="C89" s="222" t="s">
        <v>264</v>
      </c>
      <c r="D89" s="71" t="s">
        <v>918</v>
      </c>
      <c r="E89" s="82" t="s">
        <v>265</v>
      </c>
      <c r="F89" s="623" t="e">
        <f ca="1">_xll.JChemExcel.Functions.JCSYSStructure("A3C6BBCFD9BB8EAFED73843E1D85147B")</f>
        <v>#NAME?</v>
      </c>
      <c r="G89" s="282"/>
      <c r="H89" s="16">
        <v>0</v>
      </c>
      <c r="I89" s="17">
        <v>0</v>
      </c>
      <c r="J89" s="18">
        <v>0</v>
      </c>
      <c r="K89" s="19">
        <v>0.15</v>
      </c>
      <c r="L89" s="20">
        <v>0.22222222222222215</v>
      </c>
      <c r="M89" s="21">
        <v>0.33333333333333343</v>
      </c>
      <c r="N89" s="30">
        <v>68.757938716157668</v>
      </c>
      <c r="O89" s="227">
        <v>11.747222828089374</v>
      </c>
      <c r="P89" s="239"/>
      <c r="Q89" s="239"/>
      <c r="R89" s="306"/>
      <c r="S89" s="306"/>
    </row>
    <row r="90" spans="1:19" ht="28.5" customHeight="1" x14ac:dyDescent="0.35">
      <c r="A90" s="1" t="s">
        <v>251</v>
      </c>
      <c r="B90" s="1" t="s">
        <v>32</v>
      </c>
      <c r="C90" s="222" t="s">
        <v>266</v>
      </c>
      <c r="D90" s="71" t="s">
        <v>918</v>
      </c>
      <c r="E90" s="82" t="s">
        <v>267</v>
      </c>
      <c r="F90" s="623" t="e">
        <f ca="1">_xll.JChemExcel.Functions.JCSYSStructure("AB66C64C4CAA6E71B2D65373CA52B5C5")</f>
        <v>#NAME?</v>
      </c>
      <c r="G90" s="282"/>
      <c r="H90" s="16">
        <v>4</v>
      </c>
      <c r="I90" s="17">
        <v>4</v>
      </c>
      <c r="J90" s="18">
        <v>4</v>
      </c>
      <c r="K90" s="19">
        <v>0.35</v>
      </c>
      <c r="L90" s="20">
        <v>0.5</v>
      </c>
      <c r="M90" s="21">
        <v>0.77777777777777768</v>
      </c>
      <c r="N90" s="319">
        <v>67.52891052951918</v>
      </c>
      <c r="O90" s="227">
        <v>5.6074936369924275</v>
      </c>
      <c r="P90" s="239"/>
      <c r="Q90" s="239"/>
      <c r="R90" s="306"/>
      <c r="S90" s="306"/>
    </row>
    <row r="91" spans="1:19" ht="28.5" customHeight="1" x14ac:dyDescent="0.35">
      <c r="A91" s="1" t="s">
        <v>251</v>
      </c>
      <c r="B91" s="1" t="s">
        <v>35</v>
      </c>
      <c r="C91" s="222" t="s">
        <v>268</v>
      </c>
      <c r="D91" s="71" t="s">
        <v>918</v>
      </c>
      <c r="E91" s="82" t="s">
        <v>269</v>
      </c>
      <c r="F91" s="623" t="e">
        <f ca="1">_xll.JChemExcel.Functions.JCSYSStructure("D62818B901F7BEA7DAE28D31C38270C4")</f>
        <v>#NAME?</v>
      </c>
      <c r="G91" s="282"/>
      <c r="H91" s="16">
        <v>2</v>
      </c>
      <c r="I91" s="17">
        <v>2</v>
      </c>
      <c r="J91" s="18">
        <v>0</v>
      </c>
      <c r="K91" s="19">
        <v>0.2</v>
      </c>
      <c r="L91" s="20">
        <v>0.33333333333333343</v>
      </c>
      <c r="M91" s="21">
        <v>0.55555555555555558</v>
      </c>
      <c r="N91" s="30">
        <v>77.036732211183036</v>
      </c>
      <c r="O91" s="227">
        <v>17.796899771887325</v>
      </c>
      <c r="P91" s="239"/>
      <c r="Q91" s="239"/>
      <c r="R91" s="306"/>
      <c r="S91" s="306"/>
    </row>
    <row r="92" spans="1:19" ht="28.5" customHeight="1" x14ac:dyDescent="0.35">
      <c r="A92" s="4" t="s">
        <v>251</v>
      </c>
      <c r="B92" s="4" t="s">
        <v>38</v>
      </c>
      <c r="C92" s="223" t="s">
        <v>270</v>
      </c>
      <c r="D92" s="73" t="s">
        <v>915</v>
      </c>
      <c r="E92" s="82" t="s">
        <v>271</v>
      </c>
      <c r="F92" s="623" t="e">
        <f ca="1">_xll.JChemExcel.Functions.JCSYSStructure("2046B2D6BA070AEAC9B6AF140C1CAF47")</f>
        <v>#NAME?</v>
      </c>
      <c r="G92" s="282"/>
      <c r="H92" s="24">
        <v>4</v>
      </c>
      <c r="I92" s="25">
        <v>4</v>
      </c>
      <c r="J92" s="26">
        <v>4</v>
      </c>
      <c r="K92" s="27">
        <v>1</v>
      </c>
      <c r="L92" s="28">
        <v>1</v>
      </c>
      <c r="M92" s="29">
        <v>1</v>
      </c>
      <c r="N92" s="30">
        <v>-7.9569400263903507</v>
      </c>
      <c r="O92" s="227">
        <v>2.4939671903640717</v>
      </c>
      <c r="P92" s="239">
        <v>1</v>
      </c>
      <c r="Q92" s="239"/>
      <c r="R92" s="306"/>
      <c r="S92" s="306"/>
    </row>
    <row r="93" spans="1:19" ht="28.5" customHeight="1" x14ac:dyDescent="0.35">
      <c r="A93" s="1" t="s">
        <v>251</v>
      </c>
      <c r="B93" s="1" t="s">
        <v>41</v>
      </c>
      <c r="C93" s="222" t="s">
        <v>272</v>
      </c>
      <c r="D93" s="71" t="s">
        <v>916</v>
      </c>
      <c r="E93" s="82" t="s">
        <v>273</v>
      </c>
      <c r="F93" s="623" t="e">
        <f ca="1">_xll.JChemExcel.Functions.JCSYSStructure("B12D2FB520F8B8627ADF5832987D581A")</f>
        <v>#NAME?</v>
      </c>
      <c r="G93" s="282"/>
      <c r="H93" s="16">
        <v>0</v>
      </c>
      <c r="I93" s="17">
        <v>0</v>
      </c>
      <c r="J93" s="18">
        <v>0</v>
      </c>
      <c r="K93" s="19">
        <v>0.1</v>
      </c>
      <c r="L93" s="20">
        <v>0.1891891891891892</v>
      </c>
      <c r="M93" s="21">
        <v>0.33333333333333343</v>
      </c>
      <c r="N93" s="30">
        <v>80.998546877665603</v>
      </c>
      <c r="O93" s="227">
        <v>20.35297213724537</v>
      </c>
      <c r="P93" s="239"/>
      <c r="Q93" s="239"/>
      <c r="R93" s="306"/>
      <c r="S93" s="306"/>
    </row>
    <row r="94" spans="1:19" ht="28.5" customHeight="1" x14ac:dyDescent="0.35">
      <c r="A94" s="1" t="s">
        <v>251</v>
      </c>
      <c r="B94" s="1" t="s">
        <v>44</v>
      </c>
      <c r="C94" s="222" t="s">
        <v>274</v>
      </c>
      <c r="D94" s="71" t="s">
        <v>919</v>
      </c>
      <c r="E94" s="82" t="s">
        <v>275</v>
      </c>
      <c r="F94" s="623" t="e">
        <f ca="1">_xll.JChemExcel.Functions.JCSYSStructure("9A8FB9233F59316C917160090A3C4A81")</f>
        <v>#NAME?</v>
      </c>
      <c r="G94" s="282"/>
      <c r="H94" s="16">
        <v>0</v>
      </c>
      <c r="I94" s="17">
        <v>0</v>
      </c>
      <c r="J94" s="18">
        <v>0</v>
      </c>
      <c r="K94" s="19">
        <v>0.15</v>
      </c>
      <c r="L94" s="20">
        <v>0.13513513513513517</v>
      </c>
      <c r="M94" s="21">
        <v>0.16666666666666657</v>
      </c>
      <c r="N94" s="30">
        <v>66.929270499803295</v>
      </c>
      <c r="O94" s="227">
        <v>0.70466729771011682</v>
      </c>
      <c r="P94" s="239"/>
      <c r="Q94" s="239"/>
      <c r="R94" s="306"/>
      <c r="S94" s="306"/>
    </row>
    <row r="95" spans="1:19" ht="28.5" customHeight="1" x14ac:dyDescent="0.35">
      <c r="A95" s="1" t="s">
        <v>251</v>
      </c>
      <c r="B95" s="1" t="s">
        <v>47</v>
      </c>
      <c r="C95" s="222" t="s">
        <v>276</v>
      </c>
      <c r="D95" s="72" t="s">
        <v>993</v>
      </c>
      <c r="E95" s="82" t="s">
        <v>277</v>
      </c>
      <c r="F95" s="623" t="e">
        <f ca="1">_xll.JChemExcel.Functions.JCSYSStructure("7FBFFBA08803B00B5F27FF0044A08CFE")</f>
        <v>#NAME?</v>
      </c>
      <c r="G95" s="304" t="s">
        <v>927</v>
      </c>
      <c r="H95" s="16">
        <v>4</v>
      </c>
      <c r="I95" s="17">
        <v>4</v>
      </c>
      <c r="J95" s="18">
        <v>4</v>
      </c>
      <c r="K95" s="19">
        <v>0.3</v>
      </c>
      <c r="L95" s="20">
        <v>0.35135135135135132</v>
      </c>
      <c r="M95" s="21">
        <v>0.55555555555555558</v>
      </c>
      <c r="N95" s="319">
        <v>97.291539866098589</v>
      </c>
      <c r="O95" s="227">
        <v>7.0054421981803401</v>
      </c>
      <c r="P95" s="239"/>
      <c r="Q95" s="239"/>
      <c r="R95" s="306"/>
      <c r="S95" s="306"/>
    </row>
    <row r="96" spans="1:19" ht="28.5" customHeight="1" x14ac:dyDescent="0.35">
      <c r="A96" s="1" t="s">
        <v>251</v>
      </c>
      <c r="B96" s="1" t="s">
        <v>50</v>
      </c>
      <c r="C96" s="222" t="s">
        <v>278</v>
      </c>
      <c r="D96" s="71" t="s">
        <v>926</v>
      </c>
      <c r="E96" s="82" t="s">
        <v>279</v>
      </c>
      <c r="F96" s="623" t="e">
        <f ca="1">_xll.JChemExcel.Functions.JCSYSStructure("5AFE346CEF639C79D42A813E6F29B195")</f>
        <v>#NAME?</v>
      </c>
      <c r="G96" s="282"/>
      <c r="H96" s="16">
        <v>0</v>
      </c>
      <c r="I96" s="17">
        <v>0</v>
      </c>
      <c r="J96" s="18">
        <v>0</v>
      </c>
      <c r="K96" s="19">
        <v>0.2</v>
      </c>
      <c r="L96" s="20">
        <v>0.13513513513513517</v>
      </c>
      <c r="M96" s="21">
        <v>0.16666666666666657</v>
      </c>
      <c r="N96" s="30">
        <v>23.154050841438639</v>
      </c>
      <c r="O96" s="227">
        <v>4.8684476962921259</v>
      </c>
      <c r="P96" s="239"/>
      <c r="Q96" s="239">
        <v>1</v>
      </c>
      <c r="R96" s="306"/>
      <c r="S96" s="306"/>
    </row>
    <row r="97" spans="1:19" ht="28.5" customHeight="1" x14ac:dyDescent="0.35">
      <c r="A97" s="4" t="s">
        <v>251</v>
      </c>
      <c r="B97" s="4" t="s">
        <v>53</v>
      </c>
      <c r="C97" s="223" t="s">
        <v>280</v>
      </c>
      <c r="D97" s="72" t="s">
        <v>993</v>
      </c>
      <c r="E97" s="82" t="s">
        <v>281</v>
      </c>
      <c r="F97" s="623" t="e">
        <f ca="1">_xll.JChemExcel.Functions.JCSYSStructure("4E6F686E231A309E695522894D330AA2")</f>
        <v>#NAME?</v>
      </c>
      <c r="G97" s="282" t="s">
        <v>282</v>
      </c>
      <c r="H97" s="24">
        <v>4</v>
      </c>
      <c r="I97" s="25">
        <v>4</v>
      </c>
      <c r="J97" s="26">
        <v>4</v>
      </c>
      <c r="K97" s="27">
        <v>1</v>
      </c>
      <c r="L97" s="28">
        <v>1</v>
      </c>
      <c r="M97" s="29">
        <v>1</v>
      </c>
      <c r="N97" s="30">
        <v>16.589439773976157</v>
      </c>
      <c r="O97" s="227">
        <v>0.22407407633284246</v>
      </c>
      <c r="P97" s="239">
        <v>1</v>
      </c>
      <c r="Q97" s="239"/>
      <c r="R97" s="306"/>
      <c r="S97" s="306"/>
    </row>
    <row r="98" spans="1:19" ht="28.5" customHeight="1" x14ac:dyDescent="0.35">
      <c r="A98" s="1" t="s">
        <v>251</v>
      </c>
      <c r="B98" s="1" t="s">
        <v>56</v>
      </c>
      <c r="C98" s="222" t="s">
        <v>283</v>
      </c>
      <c r="D98" s="71" t="s">
        <v>918</v>
      </c>
      <c r="E98" s="82" t="s">
        <v>284</v>
      </c>
      <c r="F98" s="623" t="e">
        <f ca="1">_xll.JChemExcel.Functions.JCSYSStructure("C6A3CC8FFF606E8E341B2D58DDCFBA06")</f>
        <v>#NAME?</v>
      </c>
      <c r="G98" s="282"/>
      <c r="H98" s="16">
        <v>0</v>
      </c>
      <c r="I98" s="17">
        <v>0</v>
      </c>
      <c r="J98" s="18">
        <v>0</v>
      </c>
      <c r="K98" s="19">
        <v>0</v>
      </c>
      <c r="L98" s="20">
        <v>8.1081081081080975E-2</v>
      </c>
      <c r="M98" s="21">
        <v>5.5555555555555573E-2</v>
      </c>
      <c r="N98" s="30">
        <v>79.847625246756635</v>
      </c>
      <c r="O98" s="227">
        <v>19.740916380115475</v>
      </c>
      <c r="P98" s="239"/>
      <c r="Q98" s="239"/>
      <c r="R98" s="306"/>
      <c r="S98" s="306"/>
    </row>
    <row r="99" spans="1:19" ht="28.5" customHeight="1" x14ac:dyDescent="0.35">
      <c r="A99" s="1" t="s">
        <v>251</v>
      </c>
      <c r="B99" s="1" t="s">
        <v>59</v>
      </c>
      <c r="C99" s="222" t="s">
        <v>285</v>
      </c>
      <c r="D99" s="71" t="s">
        <v>918</v>
      </c>
      <c r="E99" s="82" t="s">
        <v>286</v>
      </c>
      <c r="F99" s="623" t="e">
        <f ca="1">_xll.JChemExcel.Functions.JCSYSStructure("AD390AB6E1D9866EFB384DCF247C7D27")</f>
        <v>#NAME?</v>
      </c>
      <c r="G99" s="282"/>
      <c r="H99" s="16">
        <v>1</v>
      </c>
      <c r="I99" s="17">
        <v>0</v>
      </c>
      <c r="J99" s="18">
        <v>0</v>
      </c>
      <c r="K99" s="19">
        <v>0</v>
      </c>
      <c r="L99" s="20">
        <v>8.1081081081080975E-2</v>
      </c>
      <c r="M99" s="21">
        <v>0.22222222222222215</v>
      </c>
      <c r="N99" s="30">
        <v>82.383140212306472</v>
      </c>
      <c r="O99" s="227">
        <v>5.9165065029094297</v>
      </c>
      <c r="P99" s="239"/>
      <c r="Q99" s="239"/>
      <c r="R99" s="306"/>
      <c r="S99" s="306"/>
    </row>
    <row r="100" spans="1:19" ht="28.5" customHeight="1" x14ac:dyDescent="0.35">
      <c r="A100" s="1" t="s">
        <v>251</v>
      </c>
      <c r="B100" s="1" t="s">
        <v>62</v>
      </c>
      <c r="C100" s="222" t="s">
        <v>287</v>
      </c>
      <c r="D100" s="71" t="s">
        <v>918</v>
      </c>
      <c r="E100" s="82" t="s">
        <v>288</v>
      </c>
      <c r="F100" s="623" t="e">
        <f ca="1">_xll.JChemExcel.Functions.JCSYSStructure("51BEA1AA567864D1052E9C448861BEF2")</f>
        <v>#NAME?</v>
      </c>
      <c r="G100" s="282"/>
      <c r="H100" s="16">
        <v>0</v>
      </c>
      <c r="I100" s="17">
        <v>0</v>
      </c>
      <c r="J100" s="18">
        <v>0</v>
      </c>
      <c r="K100" s="19">
        <v>0.05</v>
      </c>
      <c r="L100" s="20">
        <v>2.7027027027026945E-2</v>
      </c>
      <c r="M100" s="21">
        <v>0.11111111111111115</v>
      </c>
      <c r="N100" s="30">
        <v>63.986918997677819</v>
      </c>
      <c r="O100" s="227">
        <v>0.22306882286028037</v>
      </c>
      <c r="P100" s="239"/>
      <c r="Q100" s="239"/>
      <c r="R100" s="306"/>
      <c r="S100" s="306"/>
    </row>
    <row r="101" spans="1:19" ht="28.5" customHeight="1" x14ac:dyDescent="0.35">
      <c r="A101" s="1" t="s">
        <v>251</v>
      </c>
      <c r="B101" s="1" t="s">
        <v>65</v>
      </c>
      <c r="C101" s="222" t="s">
        <v>289</v>
      </c>
      <c r="D101" s="71" t="s">
        <v>918</v>
      </c>
      <c r="E101" s="82" t="s">
        <v>290</v>
      </c>
      <c r="F101" s="623" t="e">
        <f ca="1">_xll.JChemExcel.Functions.JCSYSStructure("5142BF5E909AB8E98894DE64D5BD7900")</f>
        <v>#NAME?</v>
      </c>
      <c r="G101" s="282"/>
      <c r="H101" s="16">
        <v>0</v>
      </c>
      <c r="I101" s="17">
        <v>0</v>
      </c>
      <c r="J101" s="18">
        <v>1</v>
      </c>
      <c r="K101" s="19">
        <v>0.1</v>
      </c>
      <c r="L101" s="20">
        <v>8.1081081081080975E-2</v>
      </c>
      <c r="M101" s="21">
        <v>0.11111111111111115</v>
      </c>
      <c r="N101" s="30">
        <v>61.8325204339435</v>
      </c>
      <c r="O101" s="227">
        <v>2.823710844729729</v>
      </c>
      <c r="P101" s="239"/>
      <c r="Q101" s="239"/>
      <c r="R101" s="306"/>
      <c r="S101" s="306"/>
    </row>
    <row r="102" spans="1:19" ht="28.5" customHeight="1" x14ac:dyDescent="0.35">
      <c r="A102" s="1" t="s">
        <v>251</v>
      </c>
      <c r="B102" s="1" t="s">
        <v>68</v>
      </c>
      <c r="C102" s="222" t="s">
        <v>291</v>
      </c>
      <c r="D102" s="71" t="s">
        <v>918</v>
      </c>
      <c r="E102" s="82" t="s">
        <v>292</v>
      </c>
      <c r="F102" s="623" t="e">
        <f ca="1">_xll.JChemExcel.Functions.JCSYSStructure("E8DF16D9F05F30D64972CC21567341D2")</f>
        <v>#NAME?</v>
      </c>
      <c r="G102" s="282" t="s">
        <v>949</v>
      </c>
      <c r="H102" s="16">
        <v>0</v>
      </c>
      <c r="I102" s="17">
        <v>0</v>
      </c>
      <c r="J102" s="18">
        <v>0</v>
      </c>
      <c r="K102" s="19">
        <v>0.05</v>
      </c>
      <c r="L102" s="20">
        <v>2.7027027027026945E-2</v>
      </c>
      <c r="M102" s="21">
        <v>0.11111111111111115</v>
      </c>
      <c r="N102" s="30">
        <v>79.479999947776406</v>
      </c>
      <c r="O102" s="227">
        <v>1.8162724845527523</v>
      </c>
      <c r="P102" s="239"/>
      <c r="Q102" s="239"/>
      <c r="R102" s="306"/>
      <c r="S102" s="306"/>
    </row>
    <row r="103" spans="1:19" ht="28.5" customHeight="1" x14ac:dyDescent="0.35">
      <c r="A103" s="1" t="s">
        <v>251</v>
      </c>
      <c r="B103" s="1" t="s">
        <v>71</v>
      </c>
      <c r="C103" s="222" t="s">
        <v>293</v>
      </c>
      <c r="D103" s="71" t="s">
        <v>919</v>
      </c>
      <c r="E103" s="82" t="s">
        <v>294</v>
      </c>
      <c r="F103" s="623" t="e">
        <f ca="1">_xll.JChemExcel.Functions.JCSYSStructure("FB9B7C7C56D416CE163AF81AC053DA4B")</f>
        <v>#NAME?</v>
      </c>
      <c r="G103" s="282"/>
      <c r="H103" s="16">
        <v>2</v>
      </c>
      <c r="I103" s="17">
        <v>0</v>
      </c>
      <c r="J103" s="18">
        <v>0</v>
      </c>
      <c r="K103" s="19">
        <v>0.35</v>
      </c>
      <c r="L103" s="20">
        <v>0.56756756756756754</v>
      </c>
      <c r="M103" s="21">
        <v>0.66666666666666674</v>
      </c>
      <c r="N103" s="30">
        <v>31.0287350335798</v>
      </c>
      <c r="O103" s="227">
        <v>8.9658608503118042</v>
      </c>
      <c r="P103" s="239"/>
      <c r="Q103" s="239"/>
      <c r="R103" s="306"/>
      <c r="S103" s="306"/>
    </row>
    <row r="104" spans="1:19" ht="28.5" customHeight="1" x14ac:dyDescent="0.35">
      <c r="A104" s="1" t="s">
        <v>251</v>
      </c>
      <c r="B104" s="1" t="s">
        <v>74</v>
      </c>
      <c r="C104" s="222" t="s">
        <v>295</v>
      </c>
      <c r="D104" s="71" t="s">
        <v>919</v>
      </c>
      <c r="E104" s="82" t="s">
        <v>296</v>
      </c>
      <c r="F104" s="623" t="e">
        <f ca="1">_xll.JChemExcel.Functions.JCSYSStructure("344121D464C1655596F9CCE651BEC5AC")</f>
        <v>#NAME?</v>
      </c>
      <c r="G104" s="282"/>
      <c r="H104" s="16">
        <v>0</v>
      </c>
      <c r="I104" s="17">
        <v>0</v>
      </c>
      <c r="J104" s="18">
        <v>0</v>
      </c>
      <c r="K104" s="19">
        <v>0.15</v>
      </c>
      <c r="L104" s="20">
        <v>0.24324324324324323</v>
      </c>
      <c r="M104" s="21">
        <v>0.27777777777777785</v>
      </c>
      <c r="N104" s="30">
        <v>97.444375312616458</v>
      </c>
      <c r="O104" s="227">
        <v>33.890207767340662</v>
      </c>
      <c r="P104" s="239"/>
      <c r="Q104" s="239"/>
      <c r="R104" s="306"/>
      <c r="S104" s="306"/>
    </row>
    <row r="105" spans="1:19" ht="28.5" customHeight="1" x14ac:dyDescent="0.35">
      <c r="A105" s="1" t="s">
        <v>251</v>
      </c>
      <c r="B105" s="1" t="s">
        <v>77</v>
      </c>
      <c r="C105" s="222" t="s">
        <v>297</v>
      </c>
      <c r="D105" s="73" t="s">
        <v>915</v>
      </c>
      <c r="E105" s="82" t="s">
        <v>298</v>
      </c>
      <c r="F105" s="623" t="e">
        <f ca="1">_xll.JChemExcel.Functions.JCSYSStructure("19CCB94615BC4B9591CE044AFB17E704")</f>
        <v>#NAME?</v>
      </c>
      <c r="G105" s="282"/>
      <c r="H105" s="16">
        <v>4</v>
      </c>
      <c r="I105" s="17">
        <v>4</v>
      </c>
      <c r="J105" s="18">
        <v>4</v>
      </c>
      <c r="K105" s="19">
        <v>0.44999999999999996</v>
      </c>
      <c r="L105" s="20">
        <v>0.67567567567567566</v>
      </c>
      <c r="M105" s="21">
        <v>0.94444444444444442</v>
      </c>
      <c r="N105" s="319">
        <v>71.850273889227026</v>
      </c>
      <c r="O105" s="227">
        <v>11.183173053116841</v>
      </c>
      <c r="P105" s="239"/>
      <c r="Q105" s="239"/>
      <c r="R105" s="306"/>
      <c r="S105" s="306"/>
    </row>
    <row r="106" spans="1:19" ht="28.5" customHeight="1" x14ac:dyDescent="0.35">
      <c r="A106" s="1" t="s">
        <v>251</v>
      </c>
      <c r="B106" s="1" t="s">
        <v>80</v>
      </c>
      <c r="C106" s="222" t="s">
        <v>299</v>
      </c>
      <c r="D106" s="72" t="s">
        <v>993</v>
      </c>
      <c r="E106" s="82" t="s">
        <v>300</v>
      </c>
      <c r="F106" s="623" t="e">
        <f ca="1">_xll.JChemExcel.Functions.JCSYSStructure("B2EBEC94CD24FEA957F5D30E728A6827")</f>
        <v>#NAME?</v>
      </c>
      <c r="G106" s="282" t="s">
        <v>952</v>
      </c>
      <c r="H106" s="16">
        <v>0</v>
      </c>
      <c r="I106" s="17">
        <v>0</v>
      </c>
      <c r="J106" s="18">
        <v>0</v>
      </c>
      <c r="K106" s="19">
        <v>0.15</v>
      </c>
      <c r="L106" s="20">
        <v>0.13513513513513517</v>
      </c>
      <c r="M106" s="21">
        <v>0.22222222222222215</v>
      </c>
      <c r="N106" s="30">
        <v>87.077101072441138</v>
      </c>
      <c r="O106" s="227">
        <v>35.913413730751479</v>
      </c>
      <c r="P106" s="239"/>
      <c r="Q106" s="239"/>
      <c r="R106" s="306"/>
      <c r="S106" s="306"/>
    </row>
    <row r="107" spans="1:19" ht="28.5" customHeight="1" x14ac:dyDescent="0.35">
      <c r="A107" s="1" t="s">
        <v>251</v>
      </c>
      <c r="B107" s="1" t="s">
        <v>83</v>
      </c>
      <c r="C107" s="222" t="s">
        <v>301</v>
      </c>
      <c r="D107" s="71" t="s">
        <v>925</v>
      </c>
      <c r="E107" s="82" t="s">
        <v>302</v>
      </c>
      <c r="F107" s="623" t="e">
        <f ca="1">_xll.JChemExcel.Functions.JCSYSStructure("070D8C9B17026970A44414526F347761")</f>
        <v>#NAME?</v>
      </c>
      <c r="G107" s="282" t="s">
        <v>941</v>
      </c>
      <c r="H107" s="16">
        <v>2</v>
      </c>
      <c r="I107" s="17">
        <v>0</v>
      </c>
      <c r="J107" s="18">
        <v>0</v>
      </c>
      <c r="K107" s="19">
        <v>0.15</v>
      </c>
      <c r="L107" s="20">
        <v>0.1891891891891892</v>
      </c>
      <c r="M107" s="21">
        <v>0.11111111111111115</v>
      </c>
      <c r="N107" s="30">
        <v>63.203622665749087</v>
      </c>
      <c r="O107" s="227">
        <v>20.722064284678691</v>
      </c>
      <c r="P107" s="239"/>
      <c r="Q107" s="239"/>
      <c r="R107" s="306"/>
      <c r="S107" s="306"/>
    </row>
    <row r="108" spans="1:19" ht="28.5" customHeight="1" x14ac:dyDescent="0.35">
      <c r="A108" s="1" t="s">
        <v>251</v>
      </c>
      <c r="B108" s="1" t="s">
        <v>86</v>
      </c>
      <c r="C108" s="222" t="s">
        <v>303</v>
      </c>
      <c r="D108" s="71" t="s">
        <v>918</v>
      </c>
      <c r="E108" s="82" t="s">
        <v>304</v>
      </c>
      <c r="F108" s="623" t="e">
        <f ca="1">_xll.JChemExcel.Functions.JCSYSStructure("88FE66AB5AD257889026BCD6DCBD0EFC")</f>
        <v>#NAME?</v>
      </c>
      <c r="G108" s="282"/>
      <c r="H108" s="16">
        <v>0</v>
      </c>
      <c r="I108" s="17">
        <v>0</v>
      </c>
      <c r="J108" s="18">
        <v>0</v>
      </c>
      <c r="K108" s="19">
        <v>0.1</v>
      </c>
      <c r="L108" s="20">
        <v>0.13513513513513517</v>
      </c>
      <c r="M108" s="21">
        <v>0.11111111111111115</v>
      </c>
      <c r="N108" s="30">
        <v>73.417809155149456</v>
      </c>
      <c r="O108" s="227">
        <v>1.7976137491801367</v>
      </c>
      <c r="P108" s="239"/>
      <c r="Q108" s="239"/>
      <c r="R108" s="306"/>
      <c r="S108" s="306"/>
    </row>
    <row r="109" spans="1:19" ht="28.5" customHeight="1" x14ac:dyDescent="0.35">
      <c r="A109" s="1" t="s">
        <v>251</v>
      </c>
      <c r="B109" s="1" t="s">
        <v>89</v>
      </c>
      <c r="C109" s="222" t="s">
        <v>305</v>
      </c>
      <c r="D109" s="71" t="s">
        <v>918</v>
      </c>
      <c r="E109" s="82" t="s">
        <v>306</v>
      </c>
      <c r="F109" s="623" t="e">
        <f ca="1">_xll.JChemExcel.Functions.JCSYSStructure("613793C49DEAD319ECD2DA8E78EE5F5D")</f>
        <v>#NAME?</v>
      </c>
      <c r="G109" s="282"/>
      <c r="H109" s="16">
        <v>0</v>
      </c>
      <c r="I109" s="17">
        <v>0</v>
      </c>
      <c r="J109" s="18">
        <v>0</v>
      </c>
      <c r="K109" s="19">
        <v>0.2</v>
      </c>
      <c r="L109" s="20">
        <v>0.35135135135135132</v>
      </c>
      <c r="M109" s="21">
        <v>0.38888888888888884</v>
      </c>
      <c r="N109" s="30">
        <v>78.381925722920059</v>
      </c>
      <c r="O109" s="227">
        <v>5.3359008187054995</v>
      </c>
      <c r="P109" s="239"/>
      <c r="Q109" s="239"/>
      <c r="R109" s="306"/>
      <c r="S109" s="306"/>
    </row>
    <row r="110" spans="1:19" ht="28.5" customHeight="1" x14ac:dyDescent="0.35">
      <c r="A110" s="1" t="s">
        <v>251</v>
      </c>
      <c r="B110" s="1" t="s">
        <v>92</v>
      </c>
      <c r="C110" s="222" t="s">
        <v>307</v>
      </c>
      <c r="D110" s="71" t="s">
        <v>918</v>
      </c>
      <c r="E110" s="82" t="s">
        <v>308</v>
      </c>
      <c r="F110" s="623" t="e">
        <f ca="1">_xll.JChemExcel.Functions.JCSYSStructure("77B316B8883485025D0D0026700EC423")</f>
        <v>#NAME?</v>
      </c>
      <c r="G110" s="282"/>
      <c r="H110" s="16">
        <v>0</v>
      </c>
      <c r="I110" s="17">
        <v>0</v>
      </c>
      <c r="J110" s="18">
        <v>0</v>
      </c>
      <c r="K110" s="19">
        <v>0.2</v>
      </c>
      <c r="L110" s="20">
        <v>0.45945945945945943</v>
      </c>
      <c r="M110" s="21">
        <v>0.66666666666666674</v>
      </c>
      <c r="N110" s="30">
        <v>38.350835258837677</v>
      </c>
      <c r="O110" s="227">
        <v>25.473220441872769</v>
      </c>
      <c r="P110" s="239"/>
      <c r="Q110" s="239"/>
      <c r="R110" s="306"/>
      <c r="S110" s="306"/>
    </row>
    <row r="111" spans="1:19" ht="28.5" customHeight="1" x14ac:dyDescent="0.35">
      <c r="A111" s="1" t="s">
        <v>251</v>
      </c>
      <c r="B111" s="1" t="s">
        <v>95</v>
      </c>
      <c r="C111" s="222" t="s">
        <v>309</v>
      </c>
      <c r="D111" s="71" t="s">
        <v>918</v>
      </c>
      <c r="E111" s="82" t="s">
        <v>310</v>
      </c>
      <c r="F111" s="623" t="e">
        <f ca="1">_xll.JChemExcel.Functions.JCSYSStructure("3590D406E38633E4D2758B4666D2DFC4")</f>
        <v>#NAME?</v>
      </c>
      <c r="G111" s="282"/>
      <c r="H111" s="16">
        <v>1</v>
      </c>
      <c r="I111" s="17">
        <v>0</v>
      </c>
      <c r="J111" s="18">
        <v>0</v>
      </c>
      <c r="K111" s="19">
        <v>0.05</v>
      </c>
      <c r="L111" s="20">
        <v>2.7027027027026945E-2</v>
      </c>
      <c r="M111" s="21">
        <v>0.11111111111111115</v>
      </c>
      <c r="N111" s="30">
        <v>87.8892654631249</v>
      </c>
      <c r="O111" s="227">
        <v>12.687750286211671</v>
      </c>
      <c r="P111" s="239"/>
      <c r="Q111" s="239"/>
      <c r="R111" s="306"/>
      <c r="S111" s="306"/>
    </row>
    <row r="112" spans="1:19" ht="28.5" customHeight="1" x14ac:dyDescent="0.35">
      <c r="A112" s="4" t="s">
        <v>251</v>
      </c>
      <c r="B112" s="4" t="s">
        <v>98</v>
      </c>
      <c r="C112" s="223" t="s">
        <v>311</v>
      </c>
      <c r="D112" s="73" t="s">
        <v>915</v>
      </c>
      <c r="E112" s="82" t="s">
        <v>312</v>
      </c>
      <c r="F112" s="623" t="e">
        <f ca="1">_xll.JChemExcel.Functions.JCSYSStructure("D66E8EABCBA5A80993234476D5F3A269")</f>
        <v>#NAME?</v>
      </c>
      <c r="G112" s="282"/>
      <c r="H112" s="24">
        <v>4</v>
      </c>
      <c r="I112" s="25">
        <v>4</v>
      </c>
      <c r="J112" s="26">
        <v>4</v>
      </c>
      <c r="K112" s="27">
        <v>1</v>
      </c>
      <c r="L112" s="28">
        <v>1</v>
      </c>
      <c r="M112" s="29">
        <v>1</v>
      </c>
      <c r="N112" s="30">
        <v>-5.8286822877196869</v>
      </c>
      <c r="O112" s="227">
        <v>4.9234391643147513</v>
      </c>
      <c r="P112" s="239">
        <v>1</v>
      </c>
      <c r="Q112" s="239"/>
      <c r="R112" s="306"/>
      <c r="S112" s="306"/>
    </row>
    <row r="113" spans="1:19" ht="28.5" customHeight="1" x14ac:dyDescent="0.35">
      <c r="A113" s="1" t="s">
        <v>251</v>
      </c>
      <c r="B113" s="1" t="s">
        <v>101</v>
      </c>
      <c r="C113" s="222" t="s">
        <v>313</v>
      </c>
      <c r="D113" s="71" t="s">
        <v>918</v>
      </c>
      <c r="E113" s="82" t="s">
        <v>314</v>
      </c>
      <c r="F113" s="623" t="e">
        <f ca="1">_xll.JChemExcel.Functions.JCSYSStructure("52AC4EE1EE9D213CA713C65AB89D5DB9")</f>
        <v>#NAME?</v>
      </c>
      <c r="G113" s="282"/>
      <c r="H113" s="16">
        <v>0</v>
      </c>
      <c r="I113" s="17">
        <v>0</v>
      </c>
      <c r="J113" s="18">
        <v>0</v>
      </c>
      <c r="K113" s="19">
        <v>0.35</v>
      </c>
      <c r="L113" s="20">
        <v>0.45945945945945943</v>
      </c>
      <c r="M113" s="21">
        <v>0.5</v>
      </c>
      <c r="N113" s="30">
        <v>83.472423460476577</v>
      </c>
      <c r="O113" s="227">
        <v>12.534951758387692</v>
      </c>
      <c r="P113" s="239"/>
      <c r="Q113" s="239"/>
      <c r="R113" s="306"/>
      <c r="S113" s="306"/>
    </row>
    <row r="114" spans="1:19" ht="28.5" customHeight="1" x14ac:dyDescent="0.35">
      <c r="A114" s="1" t="s">
        <v>251</v>
      </c>
      <c r="B114" s="1" t="s">
        <v>104</v>
      </c>
      <c r="C114" s="222" t="s">
        <v>315</v>
      </c>
      <c r="D114" s="72" t="s">
        <v>993</v>
      </c>
      <c r="E114" s="82" t="s">
        <v>316</v>
      </c>
      <c r="F114" s="623" t="e">
        <f ca="1">_xll.JChemExcel.Functions.JCSYSStructure("76B00AB4F575B24BB0568165EB8DE0FA")</f>
        <v>#NAME?</v>
      </c>
      <c r="G114" s="282" t="s">
        <v>946</v>
      </c>
      <c r="H114" s="16">
        <v>0</v>
      </c>
      <c r="I114" s="17">
        <v>0</v>
      </c>
      <c r="J114" s="18">
        <v>0</v>
      </c>
      <c r="K114" s="19">
        <v>0.15</v>
      </c>
      <c r="L114" s="20">
        <v>0.29729729729729726</v>
      </c>
      <c r="M114" s="21">
        <v>0.38888888888888884</v>
      </c>
      <c r="N114" s="30">
        <v>94.830104220945401</v>
      </c>
      <c r="O114" s="227">
        <v>9.5910361910272659</v>
      </c>
      <c r="P114" s="239"/>
      <c r="Q114" s="239"/>
      <c r="R114" s="306"/>
      <c r="S114" s="306"/>
    </row>
    <row r="115" spans="1:19" ht="28.5" customHeight="1" x14ac:dyDescent="0.35">
      <c r="A115" s="1" t="s">
        <v>251</v>
      </c>
      <c r="B115" s="1" t="s">
        <v>107</v>
      </c>
      <c r="C115" s="222" t="s">
        <v>317</v>
      </c>
      <c r="D115" s="73" t="s">
        <v>915</v>
      </c>
      <c r="E115" s="82" t="s">
        <v>318</v>
      </c>
      <c r="F115" s="623" t="e">
        <f ca="1">_xll.JChemExcel.Functions.JCSYSStructure("C5C024F9144E4226F610FCD57C0C4D9F")</f>
        <v>#NAME?</v>
      </c>
      <c r="G115" s="282"/>
      <c r="H115" s="16">
        <v>0</v>
      </c>
      <c r="I115" s="17">
        <v>0</v>
      </c>
      <c r="J115" s="18">
        <v>0</v>
      </c>
      <c r="K115" s="19">
        <v>0.1</v>
      </c>
      <c r="L115" s="20">
        <v>0.13513513513513517</v>
      </c>
      <c r="M115" s="21">
        <v>0.11111111111111115</v>
      </c>
      <c r="N115" s="319">
        <v>93.639683505782102</v>
      </c>
      <c r="O115" s="227">
        <v>36.104309313646716</v>
      </c>
      <c r="P115" s="239"/>
      <c r="Q115" s="239"/>
      <c r="R115" s="306"/>
      <c r="S115" s="306"/>
    </row>
    <row r="116" spans="1:19" ht="28.5" customHeight="1" x14ac:dyDescent="0.35">
      <c r="A116" s="1" t="s">
        <v>251</v>
      </c>
      <c r="B116" s="1" t="s">
        <v>110</v>
      </c>
      <c r="C116" s="222" t="s">
        <v>319</v>
      </c>
      <c r="D116" s="72" t="s">
        <v>993</v>
      </c>
      <c r="E116" s="82" t="s">
        <v>320</v>
      </c>
      <c r="F116" s="623" t="e">
        <f ca="1">_xll.JChemExcel.Functions.JCSYSStructure("D9352550AF61D702583DEEEF347D4BAD")</f>
        <v>#NAME?</v>
      </c>
      <c r="G116" s="282" t="s">
        <v>940</v>
      </c>
      <c r="H116" s="16">
        <v>0</v>
      </c>
      <c r="I116" s="17">
        <v>0</v>
      </c>
      <c r="J116" s="18">
        <v>0</v>
      </c>
      <c r="K116" s="19">
        <v>0.1</v>
      </c>
      <c r="L116" s="20">
        <v>0.13513513513513517</v>
      </c>
      <c r="M116" s="21">
        <v>0.16666666666666657</v>
      </c>
      <c r="N116" s="30">
        <v>59.288823767319386</v>
      </c>
      <c r="O116" s="227">
        <v>7.0609568083159155</v>
      </c>
      <c r="P116" s="239"/>
      <c r="Q116" s="239"/>
      <c r="R116" s="306"/>
      <c r="S116" s="306"/>
    </row>
    <row r="117" spans="1:19" ht="28.5" customHeight="1" x14ac:dyDescent="0.35">
      <c r="A117" s="1" t="s">
        <v>251</v>
      </c>
      <c r="B117" s="1" t="s">
        <v>113</v>
      </c>
      <c r="C117" s="222" t="s">
        <v>321</v>
      </c>
      <c r="D117" s="71" t="s">
        <v>938</v>
      </c>
      <c r="E117" s="82" t="s">
        <v>322</v>
      </c>
      <c r="F117" s="623" t="e">
        <f ca="1">_xll.JChemExcel.Functions.JCSYSStructure("84C0CF0BD80B16A0D28129791A3A67AB")</f>
        <v>#NAME?</v>
      </c>
      <c r="G117" s="282" t="s">
        <v>942</v>
      </c>
      <c r="H117" s="16">
        <v>0</v>
      </c>
      <c r="I117" s="17">
        <v>0</v>
      </c>
      <c r="J117" s="18">
        <v>0</v>
      </c>
      <c r="K117" s="19">
        <v>0.1</v>
      </c>
      <c r="L117" s="20">
        <v>0.1891891891891892</v>
      </c>
      <c r="M117" s="21">
        <v>0.22222222222222215</v>
      </c>
      <c r="N117" s="30">
        <v>63.700022717276426</v>
      </c>
      <c r="O117" s="227">
        <v>5.4165980540971512</v>
      </c>
      <c r="P117" s="239"/>
      <c r="Q117" s="239"/>
      <c r="R117" s="306"/>
      <c r="S117" s="306"/>
    </row>
    <row r="118" spans="1:19" ht="28.5" customHeight="1" x14ac:dyDescent="0.35">
      <c r="A118" s="1" t="s">
        <v>251</v>
      </c>
      <c r="B118" s="1" t="s">
        <v>116</v>
      </c>
      <c r="C118" s="222" t="s">
        <v>323</v>
      </c>
      <c r="D118" s="71" t="s">
        <v>918</v>
      </c>
      <c r="E118" s="82" t="s">
        <v>324</v>
      </c>
      <c r="F118" s="623" t="e">
        <f ca="1">_xll.JChemExcel.Functions.JCSYSStructure("D08AFA2D37A4BA9418A03F6B0C22ED86")</f>
        <v>#NAME?</v>
      </c>
      <c r="G118" s="282"/>
      <c r="H118" s="16">
        <v>0</v>
      </c>
      <c r="I118" s="17">
        <v>0</v>
      </c>
      <c r="J118" s="18">
        <v>0</v>
      </c>
      <c r="K118" s="19">
        <v>0.1</v>
      </c>
      <c r="L118" s="20">
        <v>8.1081081081080975E-2</v>
      </c>
      <c r="M118" s="21">
        <v>0.11111111111111115</v>
      </c>
      <c r="N118" s="30">
        <v>90.999704501328239</v>
      </c>
      <c r="O118" s="227">
        <v>46.683863558420803</v>
      </c>
      <c r="P118" s="239"/>
      <c r="Q118" s="239"/>
      <c r="R118" s="306"/>
      <c r="S118" s="306"/>
    </row>
    <row r="119" spans="1:19" ht="28.5" customHeight="1" x14ac:dyDescent="0.35">
      <c r="A119" s="1" t="s">
        <v>251</v>
      </c>
      <c r="B119" s="1" t="s">
        <v>119</v>
      </c>
      <c r="C119" s="222" t="s">
        <v>325</v>
      </c>
      <c r="D119" s="71" t="s">
        <v>918</v>
      </c>
      <c r="E119" s="82" t="s">
        <v>326</v>
      </c>
      <c r="F119" s="623" t="e">
        <f ca="1">_xll.JChemExcel.Functions.JCSYSStructure("8423516B45CFCAE74D8C59FE5DB89FE5")</f>
        <v>#NAME?</v>
      </c>
      <c r="G119" s="282"/>
      <c r="H119" s="16">
        <v>0</v>
      </c>
      <c r="I119" s="17">
        <v>1</v>
      </c>
      <c r="J119" s="18">
        <v>0</v>
      </c>
      <c r="K119" s="19">
        <v>0.05</v>
      </c>
      <c r="L119" s="20">
        <v>2.7027027027026945E-2</v>
      </c>
      <c r="M119" s="21">
        <v>0.11111111111111115</v>
      </c>
      <c r="N119" s="30">
        <v>71.488857074386161</v>
      </c>
      <c r="O119" s="227">
        <v>22.283222927513027</v>
      </c>
      <c r="P119" s="239"/>
      <c r="Q119" s="239"/>
      <c r="R119" s="306"/>
      <c r="S119" s="306"/>
    </row>
    <row r="120" spans="1:19" ht="28.5" customHeight="1" x14ac:dyDescent="0.35">
      <c r="A120" s="1" t="s">
        <v>251</v>
      </c>
      <c r="B120" s="1" t="s">
        <v>122</v>
      </c>
      <c r="C120" s="222" t="s">
        <v>327</v>
      </c>
      <c r="D120" s="71" t="s">
        <v>918</v>
      </c>
      <c r="E120" s="82" t="s">
        <v>328</v>
      </c>
      <c r="F120" s="623" t="e">
        <f ca="1">_xll.JChemExcel.Functions.JCSYSStructure("94C79C1792D01B005BB79C147E5BA177")</f>
        <v>#NAME?</v>
      </c>
      <c r="G120" s="282"/>
      <c r="H120" s="16">
        <v>0</v>
      </c>
      <c r="I120" s="17">
        <v>0</v>
      </c>
      <c r="J120" s="18">
        <v>0</v>
      </c>
      <c r="K120" s="19">
        <v>0.1</v>
      </c>
      <c r="L120" s="20">
        <v>0.13513513513513517</v>
      </c>
      <c r="M120" s="21">
        <v>0.16666666666666657</v>
      </c>
      <c r="N120" s="30">
        <v>65.662876633874106</v>
      </c>
      <c r="O120" s="227">
        <v>7.8053982931645995</v>
      </c>
      <c r="P120" s="239"/>
      <c r="Q120" s="239"/>
      <c r="R120" s="306"/>
      <c r="S120" s="306"/>
    </row>
    <row r="121" spans="1:19" ht="28.5" customHeight="1" x14ac:dyDescent="0.35">
      <c r="A121" s="1" t="s">
        <v>251</v>
      </c>
      <c r="B121" s="1" t="s">
        <v>125</v>
      </c>
      <c r="C121" s="222" t="s">
        <v>329</v>
      </c>
      <c r="D121" s="71" t="s">
        <v>918</v>
      </c>
      <c r="E121" s="82" t="s">
        <v>330</v>
      </c>
      <c r="F121" s="623" t="e">
        <f ca="1">_xll.JChemExcel.Functions.JCSYSStructure("CB48075C8AF291B54ECD0B3BFBF423AA")</f>
        <v>#NAME?</v>
      </c>
      <c r="G121" s="282"/>
      <c r="H121" s="16">
        <v>0</v>
      </c>
      <c r="I121" s="17">
        <v>0</v>
      </c>
      <c r="J121" s="18">
        <v>0</v>
      </c>
      <c r="K121" s="19">
        <v>0.1</v>
      </c>
      <c r="L121" s="20">
        <v>0.13513513513513517</v>
      </c>
      <c r="M121" s="21">
        <v>0.16666666666666657</v>
      </c>
      <c r="N121" s="30">
        <v>64.932094057067673</v>
      </c>
      <c r="O121" s="227">
        <v>18.037575917049519</v>
      </c>
      <c r="P121" s="239"/>
      <c r="Q121" s="239"/>
      <c r="R121" s="306"/>
      <c r="S121" s="306"/>
    </row>
    <row r="122" spans="1:19" ht="28.5" customHeight="1" x14ac:dyDescent="0.35">
      <c r="A122" s="4" t="s">
        <v>251</v>
      </c>
      <c r="B122" s="4" t="s">
        <v>128</v>
      </c>
      <c r="C122" s="223" t="s">
        <v>331</v>
      </c>
      <c r="D122" s="73" t="s">
        <v>915</v>
      </c>
      <c r="E122" s="82" t="s">
        <v>332</v>
      </c>
      <c r="F122" s="623" t="e">
        <f ca="1">_xll.JChemExcel.Functions.JCSYSStructure("00C036FB60E235721D33BDD45443F9D1")</f>
        <v>#NAME?</v>
      </c>
      <c r="G122" s="282"/>
      <c r="H122" s="24">
        <v>4</v>
      </c>
      <c r="I122" s="25">
        <v>4</v>
      </c>
      <c r="J122" s="26">
        <v>4</v>
      </c>
      <c r="K122" s="27">
        <v>1</v>
      </c>
      <c r="L122" s="28">
        <v>1</v>
      </c>
      <c r="M122" s="29">
        <v>1</v>
      </c>
      <c r="N122" s="30">
        <v>-3.3953805593498441</v>
      </c>
      <c r="O122" s="227">
        <v>3.7219355954981732</v>
      </c>
      <c r="P122" s="239">
        <v>1</v>
      </c>
      <c r="Q122" s="239"/>
      <c r="R122" s="306"/>
      <c r="S122" s="306"/>
    </row>
    <row r="123" spans="1:19" ht="28.5" customHeight="1" x14ac:dyDescent="0.35">
      <c r="A123" s="1" t="s">
        <v>251</v>
      </c>
      <c r="B123" s="1" t="s">
        <v>131</v>
      </c>
      <c r="C123" s="222" t="s">
        <v>333</v>
      </c>
      <c r="D123" s="71" t="s">
        <v>916</v>
      </c>
      <c r="E123" s="82" t="s">
        <v>334</v>
      </c>
      <c r="F123" s="623" t="e">
        <f ca="1">_xll.JChemExcel.Functions.JCSYSStructure("A83FAD97D048A7C8B0E8ADC5489E10E7")</f>
        <v>#NAME?</v>
      </c>
      <c r="G123" s="282"/>
      <c r="H123" s="16">
        <v>0</v>
      </c>
      <c r="I123" s="17">
        <v>0</v>
      </c>
      <c r="J123" s="18">
        <v>0</v>
      </c>
      <c r="K123" s="32">
        <v>5.5555555555555573E-2</v>
      </c>
      <c r="L123" s="33">
        <v>0.125</v>
      </c>
      <c r="M123" s="34">
        <v>0</v>
      </c>
      <c r="N123" s="42">
        <v>93.173048635280679</v>
      </c>
      <c r="O123" s="227">
        <v>17.693707425626013</v>
      </c>
      <c r="P123" s="239"/>
      <c r="Q123" s="239"/>
      <c r="R123" s="306"/>
      <c r="S123" s="306"/>
    </row>
    <row r="124" spans="1:19" ht="28.5" customHeight="1" x14ac:dyDescent="0.35">
      <c r="A124" s="1" t="s">
        <v>251</v>
      </c>
      <c r="B124" s="1" t="s">
        <v>134</v>
      </c>
      <c r="C124" s="222" t="s">
        <v>335</v>
      </c>
      <c r="D124" s="72" t="s">
        <v>993</v>
      </c>
      <c r="E124" s="82" t="s">
        <v>336</v>
      </c>
      <c r="F124" s="623" t="e">
        <f ca="1">_xll.JChemExcel.Functions.JCSYSStructure("20B8091C12C85B5E54C785AB667AFEBB")</f>
        <v>#NAME?</v>
      </c>
      <c r="G124" s="282" t="s">
        <v>953</v>
      </c>
      <c r="H124" s="16">
        <v>0</v>
      </c>
      <c r="I124" s="17">
        <v>0</v>
      </c>
      <c r="J124" s="18">
        <v>0</v>
      </c>
      <c r="K124" s="19">
        <v>0.15</v>
      </c>
      <c r="L124" s="20">
        <v>0.24324324324324323</v>
      </c>
      <c r="M124" s="21">
        <v>0.22222222222222215</v>
      </c>
      <c r="N124" s="30">
        <v>89.241465644398943</v>
      </c>
      <c r="O124" s="227">
        <v>14.454965375537121</v>
      </c>
      <c r="P124" s="239"/>
      <c r="Q124" s="239"/>
      <c r="R124" s="306"/>
      <c r="S124" s="306"/>
    </row>
    <row r="125" spans="1:19" ht="28.5" customHeight="1" x14ac:dyDescent="0.35">
      <c r="A125" s="1" t="s">
        <v>251</v>
      </c>
      <c r="B125" s="1" t="s">
        <v>137</v>
      </c>
      <c r="C125" s="222" t="s">
        <v>337</v>
      </c>
      <c r="D125" s="72" t="s">
        <v>993</v>
      </c>
      <c r="E125" s="82" t="s">
        <v>338</v>
      </c>
      <c r="F125" s="623" t="e">
        <f ca="1">_xll.JChemExcel.Functions.JCSYSStructure("2E3AD27134E128B62F76F892A68215B3")</f>
        <v>#NAME?</v>
      </c>
      <c r="G125" s="282" t="s">
        <v>956</v>
      </c>
      <c r="H125" s="16">
        <v>0</v>
      </c>
      <c r="I125" s="17">
        <v>0</v>
      </c>
      <c r="J125" s="18">
        <v>0</v>
      </c>
      <c r="K125" s="19">
        <v>0.2</v>
      </c>
      <c r="L125" s="20">
        <v>0.29729729729729726</v>
      </c>
      <c r="M125" s="21">
        <v>0.22222222222222215</v>
      </c>
      <c r="N125" s="30">
        <v>164.56747161646047</v>
      </c>
      <c r="O125" s="227">
        <v>27.1121939096316</v>
      </c>
      <c r="P125" s="239"/>
      <c r="Q125" s="239"/>
      <c r="R125" s="241">
        <v>1</v>
      </c>
      <c r="S125" s="241"/>
    </row>
    <row r="126" spans="1:19" ht="28.5" customHeight="1" x14ac:dyDescent="0.35">
      <c r="A126" s="4" t="s">
        <v>251</v>
      </c>
      <c r="B126" s="4" t="s">
        <v>140</v>
      </c>
      <c r="C126" s="223" t="s">
        <v>339</v>
      </c>
      <c r="D126" s="71" t="s">
        <v>926</v>
      </c>
      <c r="E126" s="82" t="s">
        <v>340</v>
      </c>
      <c r="F126" s="623" t="e">
        <f ca="1">_xll.JChemExcel.Functions.JCSYSStructure("B7B43202C073248F3D3073A66DFE94F6")</f>
        <v>#NAME?</v>
      </c>
      <c r="G126" s="282"/>
      <c r="H126" s="24">
        <v>2</v>
      </c>
      <c r="I126" s="25">
        <v>0</v>
      </c>
      <c r="J126" s="26">
        <v>1</v>
      </c>
      <c r="K126" s="27">
        <v>1</v>
      </c>
      <c r="L126" s="28">
        <v>1</v>
      </c>
      <c r="M126" s="29">
        <v>1</v>
      </c>
      <c r="N126" s="30">
        <v>33.455175158034493</v>
      </c>
      <c r="O126" s="227">
        <v>23.917847135349763</v>
      </c>
      <c r="P126" s="239"/>
      <c r="Q126" s="239"/>
      <c r="R126" s="306"/>
      <c r="S126" s="306"/>
    </row>
    <row r="127" spans="1:19" ht="28.5" customHeight="1" x14ac:dyDescent="0.35">
      <c r="A127" s="1" t="s">
        <v>251</v>
      </c>
      <c r="B127" s="1" t="s">
        <v>143</v>
      </c>
      <c r="C127" s="222" t="s">
        <v>341</v>
      </c>
      <c r="D127" s="71" t="s">
        <v>925</v>
      </c>
      <c r="E127" s="82" t="s">
        <v>342</v>
      </c>
      <c r="F127" s="623" t="e">
        <f ca="1">_xll.JChemExcel.Functions.JCSYSStructure("48768FF59F261D720E3CD073C8665558")</f>
        <v>#NAME?</v>
      </c>
      <c r="G127" s="282" t="s">
        <v>930</v>
      </c>
      <c r="H127" s="16">
        <v>2</v>
      </c>
      <c r="I127" s="17">
        <v>1</v>
      </c>
      <c r="J127" s="18">
        <v>2</v>
      </c>
      <c r="K127" s="19">
        <v>0.1</v>
      </c>
      <c r="L127" s="20">
        <v>0.13513513513513517</v>
      </c>
      <c r="M127" s="21">
        <v>0.33333333333333343</v>
      </c>
      <c r="N127" s="30">
        <v>6.582595577935626</v>
      </c>
      <c r="O127" s="227">
        <v>2.8891959280830668</v>
      </c>
      <c r="P127" s="239"/>
      <c r="Q127" s="239"/>
      <c r="R127" s="306"/>
      <c r="S127" s="306"/>
    </row>
    <row r="128" spans="1:19" ht="28.5" customHeight="1" x14ac:dyDescent="0.35">
      <c r="A128" s="1" t="s">
        <v>251</v>
      </c>
      <c r="B128" s="1" t="s">
        <v>146</v>
      </c>
      <c r="C128" s="222" t="s">
        <v>343</v>
      </c>
      <c r="D128" s="71" t="s">
        <v>918</v>
      </c>
      <c r="E128" s="82" t="s">
        <v>344</v>
      </c>
      <c r="F128" s="623" t="e">
        <f ca="1">_xll.JChemExcel.Functions.JCSYSStructure("1684EA92234BAF0D9A87517D42B408C5")</f>
        <v>#NAME?</v>
      </c>
      <c r="G128" s="282"/>
      <c r="H128" s="16">
        <v>0</v>
      </c>
      <c r="I128" s="17">
        <v>0</v>
      </c>
      <c r="J128" s="18">
        <v>0</v>
      </c>
      <c r="K128" s="19">
        <v>0.05</v>
      </c>
      <c r="L128" s="20">
        <v>8.1081081081080975E-2</v>
      </c>
      <c r="M128" s="21">
        <v>0.11111111111111115</v>
      </c>
      <c r="N128" s="30">
        <v>94.036276124867868</v>
      </c>
      <c r="O128" s="227">
        <v>30.231105642719697</v>
      </c>
      <c r="P128" s="239"/>
      <c r="Q128" s="239"/>
      <c r="R128" s="306"/>
      <c r="S128" s="306"/>
    </row>
    <row r="129" spans="1:19" ht="28.5" customHeight="1" x14ac:dyDescent="0.35">
      <c r="A129" s="1" t="s">
        <v>251</v>
      </c>
      <c r="B129" s="1" t="s">
        <v>149</v>
      </c>
      <c r="C129" s="222" t="s">
        <v>345</v>
      </c>
      <c r="D129" s="71" t="s">
        <v>918</v>
      </c>
      <c r="E129" s="82" t="s">
        <v>346</v>
      </c>
      <c r="F129" s="623" t="e">
        <f ca="1">_xll.JChemExcel.Functions.JCSYSStructure("8B740111CEADC012F58F77C69E8402BE")</f>
        <v>#NAME?</v>
      </c>
      <c r="G129" s="282"/>
      <c r="H129" s="16">
        <v>0</v>
      </c>
      <c r="I129" s="17">
        <v>0</v>
      </c>
      <c r="J129" s="18">
        <v>0</v>
      </c>
      <c r="K129" s="19">
        <v>0.1</v>
      </c>
      <c r="L129" s="20">
        <v>8.1081081081080975E-2</v>
      </c>
      <c r="M129" s="21">
        <v>0.11111111111111115</v>
      </c>
      <c r="N129" s="30">
        <v>90.7188719639216</v>
      </c>
      <c r="O129" s="227">
        <v>24.523994463906494</v>
      </c>
      <c r="P129" s="239"/>
      <c r="Q129" s="239"/>
      <c r="R129" s="306"/>
      <c r="S129" s="306"/>
    </row>
    <row r="130" spans="1:19" ht="28.5" customHeight="1" x14ac:dyDescent="0.35">
      <c r="A130" s="1" t="s">
        <v>251</v>
      </c>
      <c r="B130" s="1" t="s">
        <v>152</v>
      </c>
      <c r="C130" s="222" t="s">
        <v>347</v>
      </c>
      <c r="D130" s="71" t="s">
        <v>918</v>
      </c>
      <c r="E130" s="82" t="s">
        <v>348</v>
      </c>
      <c r="F130" s="623" t="e">
        <f ca="1">_xll.JChemExcel.Functions.JCSYSStructure("2FB3111E3EF94151E8D9C577A3C71996")</f>
        <v>#NAME?</v>
      </c>
      <c r="G130" s="282"/>
      <c r="H130" s="16">
        <v>0</v>
      </c>
      <c r="I130" s="17">
        <v>0</v>
      </c>
      <c r="J130" s="18">
        <v>0</v>
      </c>
      <c r="K130" s="19">
        <v>0.1</v>
      </c>
      <c r="L130" s="20">
        <v>8.1081081081080975E-2</v>
      </c>
      <c r="M130" s="21">
        <v>0.16666666666666657</v>
      </c>
      <c r="N130" s="30">
        <v>91.082261346742868</v>
      </c>
      <c r="O130" s="227">
        <v>7.0258242252198748</v>
      </c>
      <c r="P130" s="239"/>
      <c r="Q130" s="239"/>
      <c r="R130" s="306"/>
      <c r="S130" s="306"/>
    </row>
    <row r="131" spans="1:19" ht="28.5" customHeight="1" x14ac:dyDescent="0.35">
      <c r="A131" s="1" t="s">
        <v>251</v>
      </c>
      <c r="B131" s="1" t="s">
        <v>155</v>
      </c>
      <c r="C131" s="222" t="s">
        <v>349</v>
      </c>
      <c r="D131" s="71" t="s">
        <v>918</v>
      </c>
      <c r="E131" s="82" t="s">
        <v>350</v>
      </c>
      <c r="F131" s="623" t="e">
        <f ca="1">_xll.JChemExcel.Functions.JCSYSStructure("287D8A90096D857351BA967C3748F32C")</f>
        <v>#NAME?</v>
      </c>
      <c r="G131" s="282"/>
      <c r="H131" s="16">
        <v>0</v>
      </c>
      <c r="I131" s="17">
        <v>0</v>
      </c>
      <c r="J131" s="18">
        <v>1</v>
      </c>
      <c r="K131" s="19">
        <v>0.05</v>
      </c>
      <c r="L131" s="20">
        <v>8.1081081081080975E-2</v>
      </c>
      <c r="M131" s="21">
        <v>0.11111111111111115</v>
      </c>
      <c r="N131" s="30">
        <v>99.03729738684595</v>
      </c>
      <c r="O131" s="227">
        <v>7.2373993081212724</v>
      </c>
      <c r="P131" s="239"/>
      <c r="Q131" s="239"/>
      <c r="R131" s="306"/>
      <c r="S131" s="306"/>
    </row>
    <row r="132" spans="1:19" ht="28.5" customHeight="1" x14ac:dyDescent="0.35">
      <c r="A132" s="1" t="s">
        <v>251</v>
      </c>
      <c r="B132" s="1" t="s">
        <v>158</v>
      </c>
      <c r="C132" s="222" t="s">
        <v>351</v>
      </c>
      <c r="D132" s="71" t="s">
        <v>918</v>
      </c>
      <c r="E132" s="82" t="s">
        <v>352</v>
      </c>
      <c r="F132" s="623" t="e">
        <f ca="1">_xll.JChemExcel.Functions.JCSYSStructure("0F95AEAF7D655B0E214A0F8DA7C3EF1F")</f>
        <v>#NAME?</v>
      </c>
      <c r="G132" s="282"/>
      <c r="H132" s="16">
        <v>1</v>
      </c>
      <c r="I132" s="17">
        <v>0</v>
      </c>
      <c r="J132" s="18">
        <v>1</v>
      </c>
      <c r="K132" s="19">
        <v>0.15</v>
      </c>
      <c r="L132" s="20">
        <v>0.24324324324324323</v>
      </c>
      <c r="M132" s="21">
        <v>0.38888888888888884</v>
      </c>
      <c r="N132" s="30">
        <v>59.8714073048084</v>
      </c>
      <c r="O132" s="227">
        <v>3.677396712051995</v>
      </c>
      <c r="P132" s="239"/>
      <c r="Q132" s="239"/>
      <c r="R132" s="306"/>
      <c r="S132" s="306"/>
    </row>
    <row r="133" spans="1:19" ht="28.5" customHeight="1" x14ac:dyDescent="0.35">
      <c r="A133" s="1" t="s">
        <v>251</v>
      </c>
      <c r="B133" s="1" t="s">
        <v>161</v>
      </c>
      <c r="C133" s="222" t="s">
        <v>353</v>
      </c>
      <c r="D133" s="71" t="s">
        <v>918</v>
      </c>
      <c r="E133" s="82" t="s">
        <v>354</v>
      </c>
      <c r="F133" s="623" t="e">
        <f ca="1">_xll.JChemExcel.Functions.JCSYSStructure("FAF34D72D2D2244999F2F9CB9BB50407")</f>
        <v>#NAME?</v>
      </c>
      <c r="G133" s="282"/>
      <c r="H133" s="16">
        <v>2</v>
      </c>
      <c r="I133" s="17">
        <v>0</v>
      </c>
      <c r="J133" s="18">
        <v>0</v>
      </c>
      <c r="K133" s="19">
        <v>0</v>
      </c>
      <c r="L133" s="20">
        <v>0.13513513513513517</v>
      </c>
      <c r="M133" s="21">
        <v>0.22222222222222215</v>
      </c>
      <c r="N133" s="30">
        <v>125.47201089384797</v>
      </c>
      <c r="O133" s="227">
        <v>18.249981872719037</v>
      </c>
      <c r="P133" s="239"/>
      <c r="Q133" s="239"/>
      <c r="R133" s="241"/>
      <c r="S133" s="241"/>
    </row>
    <row r="134" spans="1:19" ht="28.5" customHeight="1" x14ac:dyDescent="0.35">
      <c r="A134" s="1" t="s">
        <v>251</v>
      </c>
      <c r="B134" s="1" t="s">
        <v>164</v>
      </c>
      <c r="C134" s="222" t="s">
        <v>355</v>
      </c>
      <c r="D134" s="72" t="s">
        <v>993</v>
      </c>
      <c r="E134" s="82" t="s">
        <v>356</v>
      </c>
      <c r="F134" s="623" t="e">
        <f ca="1">_xll.JChemExcel.Functions.JCSYSStructure("2A2A48C9EF59B2DF5E66957D8D28509D")</f>
        <v>#NAME?</v>
      </c>
      <c r="G134" s="282" t="s">
        <v>928</v>
      </c>
      <c r="H134" s="16">
        <v>3</v>
      </c>
      <c r="I134" s="17">
        <v>4</v>
      </c>
      <c r="J134" s="18">
        <v>4</v>
      </c>
      <c r="K134" s="19">
        <v>0.2</v>
      </c>
      <c r="L134" s="20">
        <v>0.24324324324324323</v>
      </c>
      <c r="M134" s="21">
        <v>0.55555555555555558</v>
      </c>
      <c r="N134" s="319">
        <v>88.831405964698718</v>
      </c>
      <c r="O134" s="227">
        <v>23.878560188413186</v>
      </c>
      <c r="P134" s="239"/>
      <c r="Q134" s="239"/>
      <c r="R134" s="306"/>
      <c r="S134" s="306"/>
    </row>
    <row r="135" spans="1:19" ht="28.5" customHeight="1" x14ac:dyDescent="0.35">
      <c r="A135" s="1" t="s">
        <v>251</v>
      </c>
      <c r="B135" s="1" t="s">
        <v>167</v>
      </c>
      <c r="C135" s="222" t="s">
        <v>357</v>
      </c>
      <c r="D135" s="71" t="s">
        <v>931</v>
      </c>
      <c r="E135" s="82" t="s">
        <v>358</v>
      </c>
      <c r="F135" s="623" t="e">
        <f ca="1">_xll.JChemExcel.Functions.JCSYSStructure("99CA38E2A11DA21FA28A37D25161AB28")</f>
        <v>#NAME?</v>
      </c>
      <c r="G135" s="282" t="s">
        <v>932</v>
      </c>
      <c r="H135" s="16">
        <v>0</v>
      </c>
      <c r="I135" s="17">
        <v>0</v>
      </c>
      <c r="J135" s="18">
        <v>0</v>
      </c>
      <c r="K135" s="19">
        <v>1</v>
      </c>
      <c r="L135" s="20">
        <v>1</v>
      </c>
      <c r="M135" s="21">
        <v>1</v>
      </c>
      <c r="N135" s="30">
        <v>76.514989195512499</v>
      </c>
      <c r="O135" s="227">
        <v>32.292942061003373</v>
      </c>
      <c r="P135" s="239"/>
      <c r="Q135" s="239"/>
      <c r="R135" s="306"/>
      <c r="S135" s="306"/>
    </row>
    <row r="136" spans="1:19" ht="28.5" customHeight="1" x14ac:dyDescent="0.35">
      <c r="A136" s="1" t="s">
        <v>251</v>
      </c>
      <c r="B136" s="1" t="s">
        <v>170</v>
      </c>
      <c r="C136" s="222" t="s">
        <v>359</v>
      </c>
      <c r="D136" s="71" t="s">
        <v>921</v>
      </c>
      <c r="E136" s="82" t="s">
        <v>360</v>
      </c>
      <c r="F136" s="623" t="e">
        <f ca="1">_xll.JChemExcel.Functions.JCSYSStructure("4EDC7E4CD0809D592734395F51647161")</f>
        <v>#NAME?</v>
      </c>
      <c r="G136" s="282" t="s">
        <v>922</v>
      </c>
      <c r="H136" s="16">
        <v>2</v>
      </c>
      <c r="I136" s="17">
        <v>4</v>
      </c>
      <c r="J136" s="18">
        <v>4</v>
      </c>
      <c r="K136" s="19">
        <v>0.9</v>
      </c>
      <c r="L136" s="20">
        <v>1</v>
      </c>
      <c r="M136" s="21">
        <v>1</v>
      </c>
      <c r="N136" s="188">
        <v>46.591600730371269</v>
      </c>
      <c r="O136" s="228">
        <v>30.38450319645175</v>
      </c>
      <c r="P136" s="239">
        <v>1</v>
      </c>
      <c r="Q136" s="239"/>
      <c r="R136" s="306"/>
      <c r="S136" s="306"/>
    </row>
    <row r="137" spans="1:19" ht="28.5" customHeight="1" x14ac:dyDescent="0.35">
      <c r="A137" s="1" t="s">
        <v>251</v>
      </c>
      <c r="B137" s="1" t="s">
        <v>173</v>
      </c>
      <c r="C137" s="222" t="s">
        <v>361</v>
      </c>
      <c r="D137" s="71" t="s">
        <v>938</v>
      </c>
      <c r="E137" s="82" t="s">
        <v>362</v>
      </c>
      <c r="F137" s="623" t="e">
        <f ca="1">_xll.JChemExcel.Functions.JCSYSStructure("21E91594C8605641C5AF6DA0F65EC04F")</f>
        <v>#NAME?</v>
      </c>
      <c r="G137" s="282"/>
      <c r="H137" s="16">
        <v>0</v>
      </c>
      <c r="I137" s="17">
        <v>0</v>
      </c>
      <c r="J137" s="18">
        <v>0</v>
      </c>
      <c r="K137" s="19">
        <v>0.2</v>
      </c>
      <c r="L137" s="20">
        <v>0.24324324324324323</v>
      </c>
      <c r="M137" s="21">
        <v>0.38888888888888884</v>
      </c>
      <c r="N137" s="30">
        <v>75.190902731759763</v>
      </c>
      <c r="O137" s="227">
        <v>3.2895535100491715</v>
      </c>
      <c r="P137" s="239"/>
      <c r="Q137" s="239"/>
      <c r="R137" s="306"/>
      <c r="S137" s="306"/>
    </row>
    <row r="138" spans="1:19" ht="28.5" customHeight="1" x14ac:dyDescent="0.35">
      <c r="A138" s="1" t="s">
        <v>251</v>
      </c>
      <c r="B138" s="1" t="s">
        <v>176</v>
      </c>
      <c r="C138" s="222" t="s">
        <v>363</v>
      </c>
      <c r="D138" s="71" t="s">
        <v>918</v>
      </c>
      <c r="E138" s="82" t="s">
        <v>364</v>
      </c>
      <c r="F138" s="623" t="e">
        <f ca="1">_xll.JChemExcel.Functions.JCSYSStructure("045573CB5031C000D94BDC50C340720D")</f>
        <v>#NAME?</v>
      </c>
      <c r="G138" s="282"/>
      <c r="H138" s="16">
        <v>0</v>
      </c>
      <c r="I138" s="17">
        <v>0</v>
      </c>
      <c r="J138" s="18">
        <v>0</v>
      </c>
      <c r="K138" s="19">
        <v>0.15</v>
      </c>
      <c r="L138" s="20">
        <v>0.13513513513513517</v>
      </c>
      <c r="M138" s="21">
        <v>0.27777777777777785</v>
      </c>
      <c r="N138" s="30">
        <v>67.688732550056372</v>
      </c>
      <c r="O138" s="227">
        <v>16.618865794347702</v>
      </c>
      <c r="P138" s="239"/>
      <c r="Q138" s="239"/>
      <c r="R138" s="306"/>
      <c r="S138" s="306"/>
    </row>
    <row r="139" spans="1:19" ht="28.5" customHeight="1" x14ac:dyDescent="0.35">
      <c r="A139" s="1" t="s">
        <v>251</v>
      </c>
      <c r="B139" s="1" t="s">
        <v>179</v>
      </c>
      <c r="C139" s="222" t="s">
        <v>365</v>
      </c>
      <c r="D139" s="71" t="s">
        <v>918</v>
      </c>
      <c r="E139" s="82" t="s">
        <v>366</v>
      </c>
      <c r="F139" s="623" t="e">
        <f ca="1">_xll.JChemExcel.Functions.JCSYSStructure("97B388A69ACC70CDC215F1A533A21D09")</f>
        <v>#NAME?</v>
      </c>
      <c r="G139" s="282"/>
      <c r="H139" s="16">
        <v>0</v>
      </c>
      <c r="I139" s="17">
        <v>0</v>
      </c>
      <c r="J139" s="18">
        <v>0</v>
      </c>
      <c r="K139" s="19">
        <v>0.05</v>
      </c>
      <c r="L139" s="20">
        <v>0.13513513513513517</v>
      </c>
      <c r="M139" s="21">
        <v>0.22222222222222215</v>
      </c>
      <c r="N139" s="30">
        <v>73.332757181038446</v>
      </c>
      <c r="O139" s="227">
        <v>16.475976193609974</v>
      </c>
      <c r="P139" s="239"/>
      <c r="Q139" s="239"/>
      <c r="R139" s="306"/>
      <c r="S139" s="306"/>
    </row>
    <row r="140" spans="1:19" ht="28.5" customHeight="1" x14ac:dyDescent="0.35">
      <c r="A140" s="1" t="s">
        <v>251</v>
      </c>
      <c r="B140" s="1" t="s">
        <v>182</v>
      </c>
      <c r="C140" s="222" t="s">
        <v>367</v>
      </c>
      <c r="D140" s="71" t="s">
        <v>918</v>
      </c>
      <c r="E140" s="82" t="s">
        <v>368</v>
      </c>
      <c r="F140" s="623" t="e">
        <f ca="1">_xll.JChemExcel.Functions.JCSYSStructure("88D33C5AF0E398B081331244E2482A35")</f>
        <v>#NAME?</v>
      </c>
      <c r="G140" s="282"/>
      <c r="H140" s="16">
        <v>0</v>
      </c>
      <c r="I140" s="17">
        <v>0</v>
      </c>
      <c r="J140" s="18">
        <v>0</v>
      </c>
      <c r="K140" s="19">
        <v>0.05</v>
      </c>
      <c r="L140" s="20">
        <v>0.13513513513513517</v>
      </c>
      <c r="M140" s="21">
        <v>0.22222222222222215</v>
      </c>
      <c r="N140" s="30">
        <v>80.96384718091079</v>
      </c>
      <c r="O140" s="227">
        <v>3.7642383028525619</v>
      </c>
      <c r="P140" s="239"/>
      <c r="Q140" s="239"/>
      <c r="R140" s="306"/>
      <c r="S140" s="306"/>
    </row>
    <row r="141" spans="1:19" ht="28.5" customHeight="1" x14ac:dyDescent="0.35">
      <c r="A141" s="1" t="s">
        <v>251</v>
      </c>
      <c r="B141" s="1" t="s">
        <v>185</v>
      </c>
      <c r="C141" s="222" t="s">
        <v>369</v>
      </c>
      <c r="D141" s="71" t="s">
        <v>918</v>
      </c>
      <c r="E141" s="82" t="s">
        <v>370</v>
      </c>
      <c r="F141" s="623" t="e">
        <f ca="1">_xll.JChemExcel.Functions.JCSYSStructure("89C6CCEF3B95EB36A77D9AE6AEB35F41")</f>
        <v>#NAME?</v>
      </c>
      <c r="G141" s="282"/>
      <c r="H141" s="16">
        <v>1</v>
      </c>
      <c r="I141" s="17">
        <v>1</v>
      </c>
      <c r="J141" s="18">
        <v>1</v>
      </c>
      <c r="K141" s="19">
        <v>0</v>
      </c>
      <c r="L141" s="20">
        <v>8.1081081081080975E-2</v>
      </c>
      <c r="M141" s="21">
        <v>0.11111111111111115</v>
      </c>
      <c r="N141" s="30">
        <v>56.845976721029558</v>
      </c>
      <c r="O141" s="227">
        <v>2.9225641887579754</v>
      </c>
      <c r="P141" s="239"/>
      <c r="Q141" s="239"/>
      <c r="R141" s="306"/>
      <c r="S141" s="306"/>
    </row>
    <row r="142" spans="1:19" ht="28.5" customHeight="1" x14ac:dyDescent="0.35">
      <c r="A142" s="1" t="s">
        <v>251</v>
      </c>
      <c r="B142" s="1" t="s">
        <v>188</v>
      </c>
      <c r="C142" s="222" t="s">
        <v>371</v>
      </c>
      <c r="D142" s="71" t="s">
        <v>918</v>
      </c>
      <c r="E142" s="82" t="s">
        <v>372</v>
      </c>
      <c r="F142" s="623" t="e">
        <f ca="1">_xll.JChemExcel.Functions.JCSYSStructure("7C898B846F7B65866E7F7CAE8F933651")</f>
        <v>#NAME?</v>
      </c>
      <c r="G142" s="282"/>
      <c r="H142" s="16">
        <v>0</v>
      </c>
      <c r="I142" s="17">
        <v>0</v>
      </c>
      <c r="J142" s="18">
        <v>0</v>
      </c>
      <c r="K142" s="19">
        <v>0.05</v>
      </c>
      <c r="L142" s="20">
        <v>8.1081081081080975E-2</v>
      </c>
      <c r="M142" s="21">
        <v>0.11111111111111115</v>
      </c>
      <c r="N142" s="30">
        <v>96.404457895573671</v>
      </c>
      <c r="O142" s="227">
        <v>6.8846271430839989</v>
      </c>
      <c r="P142" s="239"/>
      <c r="Q142" s="239"/>
      <c r="R142" s="306"/>
      <c r="S142" s="306"/>
    </row>
    <row r="143" spans="1:19" ht="28.5" customHeight="1" x14ac:dyDescent="0.35">
      <c r="A143" s="1" t="s">
        <v>251</v>
      </c>
      <c r="B143" s="1" t="s">
        <v>191</v>
      </c>
      <c r="C143" s="222" t="s">
        <v>373</v>
      </c>
      <c r="D143" s="71" t="s">
        <v>916</v>
      </c>
      <c r="E143" s="82" t="s">
        <v>374</v>
      </c>
      <c r="F143" s="623" t="e">
        <f ca="1">_xll.JChemExcel.Functions.JCSYSStructure("98F39F982AA461426BDE7620236B298D")</f>
        <v>#NAME?</v>
      </c>
      <c r="G143" s="282"/>
      <c r="H143" s="16">
        <v>1</v>
      </c>
      <c r="I143" s="17">
        <v>0</v>
      </c>
      <c r="J143" s="18">
        <v>0</v>
      </c>
      <c r="K143" s="19">
        <v>0.2</v>
      </c>
      <c r="L143" s="20">
        <v>0.1891891891891892</v>
      </c>
      <c r="M143" s="21">
        <v>0.33333333333333343</v>
      </c>
      <c r="N143" s="30">
        <v>83.952416590168724</v>
      </c>
      <c r="O143" s="227">
        <v>9.2964764081998528</v>
      </c>
      <c r="P143" s="239"/>
      <c r="Q143" s="239"/>
      <c r="R143" s="306"/>
      <c r="S143" s="306"/>
    </row>
    <row r="144" spans="1:19" ht="28.5" customHeight="1" x14ac:dyDescent="0.35">
      <c r="A144" s="1" t="s">
        <v>251</v>
      </c>
      <c r="B144" s="1" t="s">
        <v>194</v>
      </c>
      <c r="C144" s="222" t="s">
        <v>375</v>
      </c>
      <c r="D144" s="72" t="s">
        <v>993</v>
      </c>
      <c r="E144" s="82" t="s">
        <v>376</v>
      </c>
      <c r="F144" s="623" t="e">
        <f ca="1">_xll.JChemExcel.Functions.JCSYSStructure("EA0D8206F790E74FBDB3B71C6197209F")</f>
        <v>#NAME?</v>
      </c>
      <c r="G144" s="282" t="s">
        <v>929</v>
      </c>
      <c r="H144" s="16">
        <v>2</v>
      </c>
      <c r="I144" s="17">
        <v>4</v>
      </c>
      <c r="J144" s="18">
        <v>4</v>
      </c>
      <c r="K144" s="19">
        <v>0.2</v>
      </c>
      <c r="L144" s="20">
        <v>0.29729729729729726</v>
      </c>
      <c r="M144" s="21">
        <v>0.55555555555555558</v>
      </c>
      <c r="N144" s="319">
        <v>101.97808886183807</v>
      </c>
      <c r="O144" s="227">
        <v>11.719834799807092</v>
      </c>
      <c r="P144" s="239"/>
      <c r="Q144" s="239"/>
      <c r="R144" s="306"/>
      <c r="S144" s="306"/>
    </row>
    <row r="145" spans="1:19" ht="28.5" customHeight="1" x14ac:dyDescent="0.35">
      <c r="A145" s="1" t="s">
        <v>251</v>
      </c>
      <c r="B145" s="1" t="s">
        <v>197</v>
      </c>
      <c r="C145" s="222" t="s">
        <v>377</v>
      </c>
      <c r="D145" s="72" t="s">
        <v>993</v>
      </c>
      <c r="E145" s="82" t="s">
        <v>378</v>
      </c>
      <c r="F145" s="623" t="e">
        <f ca="1">_xll.JChemExcel.Functions.JCSYSStructure("09E3161FD1605F5359146D00E5DA1CB8")</f>
        <v>#NAME?</v>
      </c>
      <c r="G145" s="282" t="s">
        <v>948</v>
      </c>
      <c r="H145" s="16">
        <v>0</v>
      </c>
      <c r="I145" s="17">
        <v>0</v>
      </c>
      <c r="J145" s="18">
        <v>0</v>
      </c>
      <c r="K145" s="19">
        <v>0.15</v>
      </c>
      <c r="L145" s="20">
        <v>0.13513513513513517</v>
      </c>
      <c r="M145" s="21">
        <v>0.27777777777777785</v>
      </c>
      <c r="N145" s="30">
        <v>78.334155613633413</v>
      </c>
      <c r="O145" s="227">
        <v>8.5147071949172428</v>
      </c>
      <c r="P145" s="239"/>
      <c r="Q145" s="239"/>
      <c r="R145" s="306"/>
      <c r="S145" s="306"/>
    </row>
    <row r="146" spans="1:19" ht="28.5" customHeight="1" x14ac:dyDescent="0.35">
      <c r="A146" s="1" t="s">
        <v>251</v>
      </c>
      <c r="B146" s="1" t="s">
        <v>200</v>
      </c>
      <c r="C146" s="222" t="s">
        <v>379</v>
      </c>
      <c r="D146" s="72" t="s">
        <v>993</v>
      </c>
      <c r="E146" s="82" t="s">
        <v>380</v>
      </c>
      <c r="F146" s="623" t="e">
        <f ca="1">_xll.JChemExcel.Functions.JCSYSStructure("01B322D6A09FD96B621C426CCAEC2CD2")</f>
        <v>#NAME?</v>
      </c>
      <c r="G146" s="282" t="s">
        <v>936</v>
      </c>
      <c r="H146" s="16">
        <v>3</v>
      </c>
      <c r="I146" s="17">
        <v>2</v>
      </c>
      <c r="J146" s="18">
        <v>2</v>
      </c>
      <c r="K146" s="19">
        <v>0.2</v>
      </c>
      <c r="L146" s="20">
        <v>0.1891891891891892</v>
      </c>
      <c r="M146" s="21">
        <v>0.27777777777777785</v>
      </c>
      <c r="N146" s="30">
        <v>71.722717363426511</v>
      </c>
      <c r="O146" s="227">
        <v>13.473612317203928</v>
      </c>
      <c r="P146" s="239"/>
      <c r="Q146" s="239"/>
      <c r="R146" s="306"/>
      <c r="S146" s="306"/>
    </row>
    <row r="147" spans="1:19" ht="28.5" customHeight="1" x14ac:dyDescent="0.35">
      <c r="A147" s="1" t="s">
        <v>251</v>
      </c>
      <c r="B147" s="1" t="s">
        <v>203</v>
      </c>
      <c r="C147" s="222" t="s">
        <v>381</v>
      </c>
      <c r="D147" s="72" t="s">
        <v>993</v>
      </c>
      <c r="E147" s="82" t="s">
        <v>382</v>
      </c>
      <c r="F147" s="623" t="e">
        <f ca="1">_xll.JChemExcel.Functions.JCSYSStructure("8285BAB14FD13325EF5DB3874A8F31A1")</f>
        <v>#NAME?</v>
      </c>
      <c r="G147" s="282" t="s">
        <v>944</v>
      </c>
      <c r="H147" s="16">
        <v>0</v>
      </c>
      <c r="I147" s="17">
        <v>0</v>
      </c>
      <c r="J147" s="18">
        <v>0</v>
      </c>
      <c r="K147" s="19">
        <v>0.15</v>
      </c>
      <c r="L147" s="20">
        <v>0.1891891891891892</v>
      </c>
      <c r="M147" s="21">
        <v>0.27777777777777785</v>
      </c>
      <c r="N147" s="30">
        <v>71.116154478639984</v>
      </c>
      <c r="O147" s="227">
        <v>6.8124130160777732</v>
      </c>
      <c r="P147" s="239"/>
      <c r="Q147" s="239"/>
      <c r="R147" s="306"/>
      <c r="S147" s="306"/>
    </row>
    <row r="148" spans="1:19" ht="28.5" customHeight="1" x14ac:dyDescent="0.35">
      <c r="A148" s="1" t="s">
        <v>251</v>
      </c>
      <c r="B148" s="1" t="s">
        <v>206</v>
      </c>
      <c r="C148" s="222" t="s">
        <v>383</v>
      </c>
      <c r="D148" s="71" t="s">
        <v>918</v>
      </c>
      <c r="E148" s="82" t="s">
        <v>384</v>
      </c>
      <c r="F148" s="623" t="e">
        <f ca="1">_xll.JChemExcel.Functions.JCSYSStructure("770B42443AF48CD1CAE65767947FF97A")</f>
        <v>#NAME?</v>
      </c>
      <c r="G148" s="282"/>
      <c r="H148" s="16">
        <v>0</v>
      </c>
      <c r="I148" s="17">
        <v>0</v>
      </c>
      <c r="J148" s="18">
        <v>0</v>
      </c>
      <c r="K148" s="19">
        <v>0.05</v>
      </c>
      <c r="L148" s="20">
        <v>8.1081081081080975E-2</v>
      </c>
      <c r="M148" s="21">
        <v>0.16666666666666657</v>
      </c>
      <c r="N148" s="30">
        <v>109.09501609648143</v>
      </c>
      <c r="O148" s="227">
        <v>19.173481567939689</v>
      </c>
      <c r="P148" s="239"/>
      <c r="Q148" s="239"/>
      <c r="R148" s="306"/>
      <c r="S148" s="306"/>
    </row>
    <row r="149" spans="1:19" ht="28.5" customHeight="1" x14ac:dyDescent="0.35">
      <c r="A149" s="1" t="s">
        <v>251</v>
      </c>
      <c r="B149" s="1" t="s">
        <v>209</v>
      </c>
      <c r="C149" s="222" t="s">
        <v>385</v>
      </c>
      <c r="D149" s="71" t="s">
        <v>918</v>
      </c>
      <c r="E149" s="82" t="s">
        <v>386</v>
      </c>
      <c r="F149" s="623" t="e">
        <f ca="1">_xll.JChemExcel.Functions.JCSYSStructure("EFCF52A3F6A683E11662E1E5F1147354")</f>
        <v>#NAME?</v>
      </c>
      <c r="G149" s="282"/>
      <c r="H149" s="16">
        <v>1</v>
      </c>
      <c r="I149" s="17">
        <v>0</v>
      </c>
      <c r="J149" s="18">
        <v>0</v>
      </c>
      <c r="K149" s="19">
        <v>0.05</v>
      </c>
      <c r="L149" s="20">
        <v>8.1081081081080975E-2</v>
      </c>
      <c r="M149" s="21">
        <v>0.11111111111111115</v>
      </c>
      <c r="N149" s="30">
        <v>75.155028003467663</v>
      </c>
      <c r="O149" s="227">
        <v>8.6581301954568577</v>
      </c>
      <c r="P149" s="239"/>
      <c r="Q149" s="239"/>
      <c r="R149" s="306"/>
      <c r="S149" s="306"/>
    </row>
    <row r="150" spans="1:19" ht="28.5" customHeight="1" x14ac:dyDescent="0.35">
      <c r="A150" s="1" t="s">
        <v>251</v>
      </c>
      <c r="B150" s="1" t="s">
        <v>212</v>
      </c>
      <c r="C150" s="222" t="s">
        <v>387</v>
      </c>
      <c r="D150" s="71" t="s">
        <v>918</v>
      </c>
      <c r="E150" s="82" t="s">
        <v>388</v>
      </c>
      <c r="F150" s="623" t="e">
        <f ca="1">_xll.JChemExcel.Functions.JCSYSStructure("513A101C770AA657A78E9BFC175A05EE")</f>
        <v>#NAME?</v>
      </c>
      <c r="G150" s="282"/>
      <c r="H150" s="16">
        <v>0</v>
      </c>
      <c r="I150" s="17">
        <v>0</v>
      </c>
      <c r="J150" s="18">
        <v>0</v>
      </c>
      <c r="K150" s="19">
        <v>0.1</v>
      </c>
      <c r="L150" s="20">
        <v>0.13513513513513517</v>
      </c>
      <c r="M150" s="21">
        <v>5.5555555555555573E-2</v>
      </c>
      <c r="N150" s="30">
        <v>86.50683360625014</v>
      </c>
      <c r="O150" s="227">
        <v>11.603204881617188</v>
      </c>
      <c r="P150" s="239"/>
      <c r="Q150" s="239"/>
      <c r="R150" s="306"/>
      <c r="S150" s="306"/>
    </row>
    <row r="151" spans="1:19" ht="28.5" customHeight="1" x14ac:dyDescent="0.35">
      <c r="A151" s="4" t="s">
        <v>251</v>
      </c>
      <c r="B151" s="4" t="s">
        <v>215</v>
      </c>
      <c r="C151" s="223" t="s">
        <v>389</v>
      </c>
      <c r="D151" s="73" t="s">
        <v>915</v>
      </c>
      <c r="E151" s="82" t="s">
        <v>390</v>
      </c>
      <c r="F151" s="623" t="e">
        <f ca="1">_xll.JChemExcel.Functions.JCSYSStructure("81EAD6ADE94282B499A4A44069497DEF")</f>
        <v>#NAME?</v>
      </c>
      <c r="G151" s="282"/>
      <c r="H151" s="24">
        <v>3</v>
      </c>
      <c r="I151" s="25">
        <v>4</v>
      </c>
      <c r="J151" s="26">
        <v>4</v>
      </c>
      <c r="K151" s="27">
        <v>1</v>
      </c>
      <c r="L151" s="28">
        <v>1</v>
      </c>
      <c r="M151" s="29">
        <v>1</v>
      </c>
      <c r="N151" s="30">
        <v>6.433975848314752</v>
      </c>
      <c r="O151" s="227">
        <v>3.2593548751198669</v>
      </c>
      <c r="P151" s="239">
        <v>1</v>
      </c>
      <c r="Q151" s="239"/>
      <c r="R151" s="306"/>
      <c r="S151" s="306"/>
    </row>
    <row r="152" spans="1:19" ht="28.5" customHeight="1" x14ac:dyDescent="0.35">
      <c r="A152" s="1" t="s">
        <v>251</v>
      </c>
      <c r="B152" s="1" t="s">
        <v>218</v>
      </c>
      <c r="C152" s="222" t="s">
        <v>391</v>
      </c>
      <c r="D152" s="72" t="s">
        <v>993</v>
      </c>
      <c r="E152" s="82" t="s">
        <v>392</v>
      </c>
      <c r="F152" s="623" t="e">
        <f ca="1">_xll.JChemExcel.Functions.JCSYSStructure("29E9775473F17C5062AE8B9EC9B132E8")</f>
        <v>#NAME?</v>
      </c>
      <c r="G152" s="282" t="s">
        <v>943</v>
      </c>
      <c r="H152" s="16">
        <v>0</v>
      </c>
      <c r="I152" s="17">
        <v>0</v>
      </c>
      <c r="J152" s="18">
        <v>0</v>
      </c>
      <c r="K152" s="19">
        <v>0</v>
      </c>
      <c r="L152" s="20">
        <v>0.13513513513513517</v>
      </c>
      <c r="M152" s="21">
        <v>0.33333333333333343</v>
      </c>
      <c r="N152" s="30">
        <v>77.407128263541296</v>
      </c>
      <c r="O152" s="227">
        <v>0.47529512527004253</v>
      </c>
      <c r="P152" s="239"/>
      <c r="Q152" s="239"/>
      <c r="R152" s="306"/>
      <c r="S152" s="306"/>
    </row>
    <row r="153" spans="1:19" ht="28.5" customHeight="1" x14ac:dyDescent="0.35">
      <c r="A153" s="1" t="s">
        <v>251</v>
      </c>
      <c r="B153" s="1" t="s">
        <v>221</v>
      </c>
      <c r="C153" s="222" t="s">
        <v>393</v>
      </c>
      <c r="D153" s="71" t="s">
        <v>919</v>
      </c>
      <c r="E153" s="82" t="s">
        <v>394</v>
      </c>
      <c r="F153" s="623" t="e">
        <f ca="1">_xll.JChemExcel.Functions.JCSYSStructure("078F549B32E4ABA70174B4B1392E64BB")</f>
        <v>#NAME?</v>
      </c>
      <c r="G153" s="282"/>
      <c r="H153" s="16">
        <v>3</v>
      </c>
      <c r="I153" s="17">
        <v>4</v>
      </c>
      <c r="J153" s="18">
        <v>4</v>
      </c>
      <c r="K153" s="19">
        <v>0.36363636363636365</v>
      </c>
      <c r="L153" s="20">
        <v>0.8</v>
      </c>
      <c r="M153" s="21">
        <v>0.89090909090909098</v>
      </c>
      <c r="N153" s="320">
        <v>156.51247717589771</v>
      </c>
      <c r="O153" s="227">
        <v>11.418628034835146</v>
      </c>
      <c r="P153" s="239"/>
      <c r="Q153" s="239"/>
      <c r="R153" s="324">
        <v>1</v>
      </c>
      <c r="S153" s="324">
        <v>1</v>
      </c>
    </row>
    <row r="154" spans="1:19" ht="28.5" customHeight="1" x14ac:dyDescent="0.35">
      <c r="A154" s="1" t="s">
        <v>251</v>
      </c>
      <c r="B154" s="1" t="s">
        <v>224</v>
      </c>
      <c r="C154" s="222" t="s">
        <v>395</v>
      </c>
      <c r="D154" s="72" t="s">
        <v>993</v>
      </c>
      <c r="E154" s="82" t="s">
        <v>396</v>
      </c>
      <c r="F154" s="623" t="e">
        <f ca="1">_xll.JChemExcel.Functions.JCSYSStructure("E1BFC9F973F712E099681F0C0CBD1047")</f>
        <v>#NAME?</v>
      </c>
      <c r="G154" s="282" t="s">
        <v>397</v>
      </c>
      <c r="H154" s="16">
        <v>4</v>
      </c>
      <c r="I154" s="17">
        <v>4</v>
      </c>
      <c r="J154" s="18">
        <v>4</v>
      </c>
      <c r="K154" s="19">
        <v>0.95454545454545459</v>
      </c>
      <c r="L154" s="20">
        <v>1</v>
      </c>
      <c r="M154" s="21">
        <v>1</v>
      </c>
      <c r="N154" s="30">
        <v>-0.13881692022203773</v>
      </c>
      <c r="O154" s="227">
        <v>1.683435418541013</v>
      </c>
      <c r="P154" s="239">
        <v>1</v>
      </c>
      <c r="Q154" s="239"/>
      <c r="R154" s="306"/>
      <c r="S154" s="306"/>
    </row>
    <row r="155" spans="1:19" ht="28.5" customHeight="1" x14ac:dyDescent="0.35">
      <c r="A155" s="1" t="s">
        <v>251</v>
      </c>
      <c r="B155" s="1" t="s">
        <v>227</v>
      </c>
      <c r="C155" s="222" t="s">
        <v>398</v>
      </c>
      <c r="D155" s="72" t="s">
        <v>993</v>
      </c>
      <c r="E155" s="82" t="s">
        <v>399</v>
      </c>
      <c r="F155" s="623" t="e">
        <f ca="1">_xll.JChemExcel.Functions.JCSYSStructure("F2531CDF7CD0D483CB0F8AC2E3D48706")</f>
        <v>#NAME?</v>
      </c>
      <c r="G155" s="282" t="s">
        <v>958</v>
      </c>
      <c r="H155" s="16">
        <v>0</v>
      </c>
      <c r="I155" s="17">
        <v>0</v>
      </c>
      <c r="J155" s="18">
        <v>0</v>
      </c>
      <c r="K155" s="19">
        <v>0.22727272727272735</v>
      </c>
      <c r="L155" s="20">
        <v>0.2</v>
      </c>
      <c r="M155" s="21">
        <v>0.18181818181818174</v>
      </c>
      <c r="N155" s="30">
        <v>94.217709698159069</v>
      </c>
      <c r="O155" s="227">
        <v>15.9394272814929</v>
      </c>
      <c r="P155" s="239"/>
      <c r="Q155" s="239"/>
      <c r="R155" s="306"/>
      <c r="S155" s="306"/>
    </row>
    <row r="156" spans="1:19" ht="28.5" customHeight="1" x14ac:dyDescent="0.35">
      <c r="A156" s="1" t="s">
        <v>251</v>
      </c>
      <c r="B156" s="1" t="s">
        <v>230</v>
      </c>
      <c r="C156" s="222" t="s">
        <v>400</v>
      </c>
      <c r="D156" s="71" t="s">
        <v>925</v>
      </c>
      <c r="E156" s="82" t="s">
        <v>401</v>
      </c>
      <c r="F156" s="623" t="e">
        <f ca="1">_xll.JChemExcel.Functions.JCSYSStructure("A245B7FD8328396C1135D75E1280D341")</f>
        <v>#NAME?</v>
      </c>
      <c r="G156" s="282"/>
      <c r="H156" s="16">
        <v>0</v>
      </c>
      <c r="I156" s="17">
        <v>0</v>
      </c>
      <c r="J156" s="18">
        <v>0</v>
      </c>
      <c r="K156" s="19">
        <v>0.18181818181818174</v>
      </c>
      <c r="L156" s="20">
        <v>0.15</v>
      </c>
      <c r="M156" s="21">
        <v>0.1272727272727272</v>
      </c>
      <c r="N156" s="30">
        <v>79.251405540810453</v>
      </c>
      <c r="O156" s="227">
        <v>7.1458699536785879</v>
      </c>
      <c r="P156" s="239"/>
      <c r="Q156" s="239"/>
      <c r="R156" s="306"/>
      <c r="S156" s="306"/>
    </row>
    <row r="157" spans="1:19" ht="28.5" customHeight="1" x14ac:dyDescent="0.35">
      <c r="A157" s="1" t="s">
        <v>251</v>
      </c>
      <c r="B157" s="1" t="s">
        <v>233</v>
      </c>
      <c r="C157" s="222" t="s">
        <v>402</v>
      </c>
      <c r="D157" s="71" t="s">
        <v>918</v>
      </c>
      <c r="E157" s="82" t="s">
        <v>403</v>
      </c>
      <c r="F157" s="623" t="e">
        <f ca="1">_xll.JChemExcel.Functions.JCSYSStructure("D7FFD67069D81E68BDAE44FED539F243")</f>
        <v>#NAME?</v>
      </c>
      <c r="G157" s="282"/>
      <c r="H157" s="16">
        <v>2</v>
      </c>
      <c r="I157" s="17">
        <v>2</v>
      </c>
      <c r="J157" s="18">
        <v>1</v>
      </c>
      <c r="K157" s="19">
        <v>0.45454545454545459</v>
      </c>
      <c r="L157" s="20">
        <v>0.75</v>
      </c>
      <c r="M157" s="21">
        <v>0.83636363636363642</v>
      </c>
      <c r="N157" s="30">
        <v>82.607643768735244</v>
      </c>
      <c r="O157" s="227">
        <v>7.839217892133072</v>
      </c>
      <c r="P157" s="239"/>
      <c r="Q157" s="239"/>
      <c r="R157" s="306"/>
      <c r="S157" s="306"/>
    </row>
    <row r="158" spans="1:19" ht="28.5" customHeight="1" x14ac:dyDescent="0.35">
      <c r="A158" s="1" t="s">
        <v>251</v>
      </c>
      <c r="B158" s="1" t="s">
        <v>236</v>
      </c>
      <c r="C158" s="222" t="s">
        <v>404</v>
      </c>
      <c r="D158" s="71" t="s">
        <v>918</v>
      </c>
      <c r="E158" s="82" t="s">
        <v>405</v>
      </c>
      <c r="F158" s="623" t="e">
        <f ca="1">_xll.JChemExcel.Functions.JCSYSStructure("C712467FA74AABB497767AD7738BE5B3")</f>
        <v>#NAME?</v>
      </c>
      <c r="G158" s="282"/>
      <c r="H158" s="16">
        <v>0</v>
      </c>
      <c r="I158" s="17">
        <v>0</v>
      </c>
      <c r="J158" s="18">
        <v>0</v>
      </c>
      <c r="K158" s="19">
        <v>0.18181818181818174</v>
      </c>
      <c r="L158" s="20">
        <v>0.1</v>
      </c>
      <c r="M158" s="21">
        <v>0.1272727272727272</v>
      </c>
      <c r="N158" s="30">
        <v>91.739930850119407</v>
      </c>
      <c r="O158" s="227">
        <v>6.6760780782883282</v>
      </c>
      <c r="P158" s="239"/>
      <c r="Q158" s="239"/>
      <c r="R158" s="306"/>
      <c r="S158" s="306"/>
    </row>
    <row r="159" spans="1:19" ht="28.5" customHeight="1" x14ac:dyDescent="0.35">
      <c r="A159" s="1" t="s">
        <v>251</v>
      </c>
      <c r="B159" s="1" t="s">
        <v>239</v>
      </c>
      <c r="C159" s="222" t="s">
        <v>406</v>
      </c>
      <c r="D159" s="71" t="s">
        <v>918</v>
      </c>
      <c r="E159" s="82" t="s">
        <v>407</v>
      </c>
      <c r="F159" s="623" t="e">
        <f ca="1">_xll.JChemExcel.Functions.JCSYSStructure("47E59C273C8981B4DE1FFD1F5A047508")</f>
        <v>#NAME?</v>
      </c>
      <c r="G159" s="305"/>
      <c r="H159" s="16">
        <v>1</v>
      </c>
      <c r="I159" s="17">
        <v>0</v>
      </c>
      <c r="J159" s="18">
        <v>0</v>
      </c>
      <c r="K159" s="19">
        <v>0.18181818181818174</v>
      </c>
      <c r="L159" s="20">
        <v>0.35</v>
      </c>
      <c r="M159" s="21">
        <v>0.45454545454545447</v>
      </c>
      <c r="N159" s="30">
        <v>-13.736891145078419</v>
      </c>
      <c r="O159" s="227">
        <v>12.208931644945576</v>
      </c>
      <c r="P159" s="239"/>
      <c r="Q159" s="239">
        <v>1</v>
      </c>
      <c r="R159" s="306"/>
      <c r="S159" s="306"/>
    </row>
    <row r="160" spans="1:19" ht="28.5" customHeight="1" x14ac:dyDescent="0.35">
      <c r="A160" s="1" t="s">
        <v>251</v>
      </c>
      <c r="B160" s="1" t="s">
        <v>242</v>
      </c>
      <c r="C160" s="222" t="s">
        <v>408</v>
      </c>
      <c r="D160" s="71" t="s">
        <v>918</v>
      </c>
      <c r="E160" s="82" t="s">
        <v>409</v>
      </c>
      <c r="F160" s="623" t="e">
        <f ca="1">_xll.JChemExcel.Functions.JCSYSStructure("0B1F50BA5976540D2CDC674DE7A972EE")</f>
        <v>#NAME?</v>
      </c>
      <c r="G160" s="282"/>
      <c r="H160" s="16">
        <v>2</v>
      </c>
      <c r="I160" s="17">
        <v>4</v>
      </c>
      <c r="J160" s="18">
        <v>4</v>
      </c>
      <c r="K160" s="19">
        <v>0.95454545454545459</v>
      </c>
      <c r="L160" s="20">
        <v>0.85</v>
      </c>
      <c r="M160" s="21">
        <v>1</v>
      </c>
      <c r="N160" s="30">
        <v>29.461199443180117</v>
      </c>
      <c r="O160" s="227">
        <v>1.7298514589816774</v>
      </c>
      <c r="P160" s="239">
        <v>1</v>
      </c>
      <c r="Q160" s="239"/>
      <c r="R160" s="306"/>
      <c r="S160" s="306"/>
    </row>
    <row r="161" spans="1:20" ht="28.5" customHeight="1" x14ac:dyDescent="0.35">
      <c r="A161" s="1" t="s">
        <v>251</v>
      </c>
      <c r="B161" s="1" t="s">
        <v>245</v>
      </c>
      <c r="C161" s="222" t="s">
        <v>410</v>
      </c>
      <c r="D161" s="71" t="s">
        <v>918</v>
      </c>
      <c r="E161" s="82" t="s">
        <v>411</v>
      </c>
      <c r="F161" s="623" t="e">
        <f ca="1">_xll.JChemExcel.Functions.JCSYSStructure("979341DAF8C85C4687DC22884774949C")</f>
        <v>#NAME?</v>
      </c>
      <c r="G161" s="282"/>
      <c r="H161" s="16">
        <v>0</v>
      </c>
      <c r="I161" s="17">
        <v>0</v>
      </c>
      <c r="J161" s="18">
        <v>0</v>
      </c>
      <c r="K161" s="19">
        <v>0.22727272727272735</v>
      </c>
      <c r="L161" s="20">
        <v>0.15</v>
      </c>
      <c r="M161" s="21">
        <v>0.1272727272727272</v>
      </c>
      <c r="N161" s="30">
        <v>94.236234578073777</v>
      </c>
      <c r="O161" s="227">
        <v>12.286110493183287</v>
      </c>
      <c r="P161" s="239"/>
      <c r="Q161" s="239"/>
      <c r="R161" s="306"/>
      <c r="S161" s="306"/>
    </row>
    <row r="162" spans="1:20" ht="28.5" customHeight="1" x14ac:dyDescent="0.35">
      <c r="A162" s="5" t="s">
        <v>251</v>
      </c>
      <c r="B162" s="5" t="s">
        <v>248</v>
      </c>
      <c r="C162" s="222" t="s">
        <v>412</v>
      </c>
      <c r="D162" s="72" t="s">
        <v>993</v>
      </c>
      <c r="E162" s="82" t="s">
        <v>413</v>
      </c>
      <c r="F162" s="623" t="e">
        <f ca="1">_xll.JChemExcel.Functions.JCSYSStructure("C075A537866411EF602B61CD499D7C5E")</f>
        <v>#NAME?</v>
      </c>
      <c r="G162" s="282" t="s">
        <v>960</v>
      </c>
      <c r="H162" s="16">
        <v>0</v>
      </c>
      <c r="I162" s="17">
        <v>0</v>
      </c>
      <c r="J162" s="17">
        <v>0</v>
      </c>
      <c r="K162" s="19">
        <v>0.18181818181818174</v>
      </c>
      <c r="L162" s="20">
        <v>0.1</v>
      </c>
      <c r="M162" s="21">
        <v>7.2727272727272668E-2</v>
      </c>
      <c r="N162" s="30">
        <v>92.972756531144427</v>
      </c>
      <c r="O162" s="227">
        <v>5.6585871833867731</v>
      </c>
      <c r="P162" s="239"/>
      <c r="Q162" s="239"/>
      <c r="R162" s="306"/>
      <c r="S162" s="306"/>
    </row>
    <row r="163" spans="1:20" ht="28.5" customHeight="1" x14ac:dyDescent="0.35">
      <c r="A163" s="1" t="s">
        <v>414</v>
      </c>
      <c r="B163" s="1" t="s">
        <v>10</v>
      </c>
      <c r="C163" s="222" t="s">
        <v>415</v>
      </c>
      <c r="D163" s="71" t="s">
        <v>919</v>
      </c>
      <c r="E163" s="82" t="s">
        <v>416</v>
      </c>
      <c r="F163" s="623" t="e">
        <f ca="1">_xll.JChemExcel.Functions.JCSYSStructure("9799C69369FD1070D304E9C5C38FD244")</f>
        <v>#NAME?</v>
      </c>
      <c r="G163" s="282"/>
      <c r="H163" s="16">
        <v>0</v>
      </c>
      <c r="I163" s="17">
        <v>0</v>
      </c>
      <c r="J163" s="18">
        <v>0</v>
      </c>
      <c r="K163" s="19">
        <v>8.1081081081080975E-2</v>
      </c>
      <c r="L163" s="20">
        <v>0.11111111111111115</v>
      </c>
      <c r="M163" s="21">
        <v>0.125</v>
      </c>
      <c r="N163" s="30">
        <v>118.36515100949272</v>
      </c>
      <c r="O163" s="227">
        <v>46.387068545617467</v>
      </c>
      <c r="P163" s="239"/>
      <c r="Q163" s="239"/>
      <c r="R163" s="306"/>
      <c r="S163" s="306"/>
      <c r="T163" s="313" t="s">
        <v>2022</v>
      </c>
    </row>
    <row r="164" spans="1:20" ht="28.5" customHeight="1" x14ac:dyDescent="0.5">
      <c r="A164" s="1" t="s">
        <v>414</v>
      </c>
      <c r="B164" s="1" t="s">
        <v>13</v>
      </c>
      <c r="C164" s="222" t="s">
        <v>417</v>
      </c>
      <c r="D164" s="71" t="s">
        <v>925</v>
      </c>
      <c r="E164" s="82" t="s">
        <v>418</v>
      </c>
      <c r="F164" s="623" t="e">
        <f ca="1">_xll.JChemExcel.Functions.JCSYSStructure("2EA3E01343BB3073459E08A7197AE7E4")</f>
        <v>#NAME?</v>
      </c>
      <c r="G164" s="282"/>
      <c r="H164" s="16">
        <v>1</v>
      </c>
      <c r="I164" s="17">
        <v>0</v>
      </c>
      <c r="J164" s="18">
        <v>1</v>
      </c>
      <c r="K164" s="19">
        <v>0.13513513513513517</v>
      </c>
      <c r="L164" s="20">
        <v>0.16666666666666657</v>
      </c>
      <c r="M164" s="21">
        <v>0.25</v>
      </c>
      <c r="N164" s="30">
        <v>126.16637631070299</v>
      </c>
      <c r="O164" s="227">
        <v>3.3754471760646565</v>
      </c>
      <c r="P164" s="239"/>
      <c r="Q164" s="239"/>
      <c r="R164" s="241"/>
      <c r="S164" s="241"/>
      <c r="T164" s="314" t="s">
        <v>1976</v>
      </c>
    </row>
    <row r="165" spans="1:20" ht="28.5" customHeight="1" x14ac:dyDescent="0.35">
      <c r="A165" s="1" t="s">
        <v>414</v>
      </c>
      <c r="B165" s="1" t="s">
        <v>16</v>
      </c>
      <c r="C165" s="222" t="s">
        <v>419</v>
      </c>
      <c r="D165" s="71" t="s">
        <v>916</v>
      </c>
      <c r="E165" s="82" t="s">
        <v>420</v>
      </c>
      <c r="F165" s="623" t="e">
        <f ca="1">_xll.JChemExcel.Functions.JCSYSStructure("726159A5D44BC3AB0CF6E6CDA17CE744")</f>
        <v>#NAME?</v>
      </c>
      <c r="G165" s="282"/>
      <c r="H165" s="16">
        <v>0</v>
      </c>
      <c r="I165" s="17">
        <v>0</v>
      </c>
      <c r="J165" s="18">
        <v>0</v>
      </c>
      <c r="K165" s="19">
        <v>0.13513513513513517</v>
      </c>
      <c r="L165" s="20">
        <v>0.11111111111111115</v>
      </c>
      <c r="M165" s="21">
        <v>0</v>
      </c>
      <c r="N165" s="30">
        <v>128.31769830317526</v>
      </c>
      <c r="O165" s="227">
        <v>37.969539879310027</v>
      </c>
      <c r="P165" s="239"/>
      <c r="Q165" s="239"/>
      <c r="R165" s="241"/>
      <c r="S165" s="241"/>
      <c r="T165" s="313" t="s">
        <v>1974</v>
      </c>
    </row>
    <row r="166" spans="1:20" ht="28.5" customHeight="1" x14ac:dyDescent="0.35">
      <c r="A166" s="4" t="s">
        <v>414</v>
      </c>
      <c r="B166" s="4" t="s">
        <v>19</v>
      </c>
      <c r="C166" s="223" t="s">
        <v>421</v>
      </c>
      <c r="D166" s="71" t="s">
        <v>916</v>
      </c>
      <c r="E166" s="82" t="s">
        <v>422</v>
      </c>
      <c r="F166" s="623" t="e">
        <f ca="1">_xll.JChemExcel.Functions.JCSYSStructure("C7F11EDAEB754882EF49CC014B86BFD2")</f>
        <v>#NAME?</v>
      </c>
      <c r="G166" s="282"/>
      <c r="H166" s="24">
        <v>1</v>
      </c>
      <c r="I166" s="25">
        <v>3</v>
      </c>
      <c r="J166" s="26">
        <v>4</v>
      </c>
      <c r="K166" s="27">
        <v>0.40540540540540543</v>
      </c>
      <c r="L166" s="28">
        <v>0.66666666666666674</v>
      </c>
      <c r="M166" s="29">
        <v>0.75</v>
      </c>
      <c r="N166" s="30">
        <v>39.913064430519221</v>
      </c>
      <c r="O166" s="227">
        <v>29.660907078632977</v>
      </c>
      <c r="P166" s="239">
        <v>1</v>
      </c>
      <c r="Q166" s="239"/>
      <c r="R166" s="306"/>
      <c r="S166" s="306"/>
      <c r="T166" s="313" t="s">
        <v>1975</v>
      </c>
    </row>
    <row r="167" spans="1:20" ht="28.5" customHeight="1" x14ac:dyDescent="0.35">
      <c r="A167" s="1" t="s">
        <v>414</v>
      </c>
      <c r="B167" s="1" t="s">
        <v>23</v>
      </c>
      <c r="C167" s="222" t="s">
        <v>423</v>
      </c>
      <c r="D167" s="71" t="s">
        <v>920</v>
      </c>
      <c r="E167" s="82" t="s">
        <v>424</v>
      </c>
      <c r="F167" s="623" t="e">
        <f ca="1">_xll.JChemExcel.Functions.JCSYSStructure("B2429BDEAFFEBAEE65902DE3C83FEDCB")</f>
        <v>#NAME?</v>
      </c>
      <c r="G167" s="282"/>
      <c r="H167" s="16">
        <v>0</v>
      </c>
      <c r="I167" s="17">
        <v>0</v>
      </c>
      <c r="J167" s="18">
        <v>0</v>
      </c>
      <c r="K167" s="19">
        <v>8.1081081081080975E-2</v>
      </c>
      <c r="L167" s="20">
        <v>0.16666666666666657</v>
      </c>
      <c r="M167" s="21">
        <v>0.1875</v>
      </c>
      <c r="N167" s="30">
        <v>98.67900710599713</v>
      </c>
      <c r="O167" s="227">
        <v>33.633969354302721</v>
      </c>
      <c r="P167" s="239"/>
      <c r="Q167" s="239"/>
      <c r="R167" s="306"/>
      <c r="S167" s="306"/>
    </row>
    <row r="168" spans="1:20" ht="28.5" customHeight="1" x14ac:dyDescent="0.35">
      <c r="A168" s="1" t="s">
        <v>414</v>
      </c>
      <c r="B168" s="1" t="s">
        <v>26</v>
      </c>
      <c r="C168" s="222" t="s">
        <v>425</v>
      </c>
      <c r="D168" s="71" t="s">
        <v>916</v>
      </c>
      <c r="E168" s="82" t="s">
        <v>426</v>
      </c>
      <c r="F168" s="623" t="e">
        <f ca="1">_xll.JChemExcel.Functions.JCSYSStructure("0748339B792E25A06B14FC5D56B2E0DA")</f>
        <v>#NAME?</v>
      </c>
      <c r="G168" s="282"/>
      <c r="H168" s="16">
        <v>0</v>
      </c>
      <c r="I168" s="17">
        <v>0</v>
      </c>
      <c r="J168" s="18">
        <v>0</v>
      </c>
      <c r="K168" s="19">
        <v>8.1081081081080975E-2</v>
      </c>
      <c r="L168" s="20">
        <v>0.11111111111111115</v>
      </c>
      <c r="M168" s="21">
        <v>6.25E-2</v>
      </c>
      <c r="N168" s="30">
        <v>140.97484611516541</v>
      </c>
      <c r="O168" s="227">
        <v>38.705567711478366</v>
      </c>
      <c r="P168" s="239"/>
      <c r="Q168" s="239"/>
      <c r="R168" s="241">
        <v>1</v>
      </c>
      <c r="S168" s="241"/>
    </row>
    <row r="169" spans="1:20" ht="28.5" customHeight="1" x14ac:dyDescent="0.35">
      <c r="A169" s="1" t="s">
        <v>414</v>
      </c>
      <c r="B169" s="1" t="s">
        <v>29</v>
      </c>
      <c r="C169" s="222" t="s">
        <v>427</v>
      </c>
      <c r="D169" s="71" t="s">
        <v>916</v>
      </c>
      <c r="E169" s="82" t="s">
        <v>428</v>
      </c>
      <c r="F169" s="623" t="e">
        <f ca="1">_xll.JChemExcel.Functions.JCSYSStructure("511F92602E116ACC3C6826A0055D20DF")</f>
        <v>#NAME?</v>
      </c>
      <c r="G169" s="282" t="s">
        <v>963</v>
      </c>
      <c r="H169" s="16">
        <v>0</v>
      </c>
      <c r="I169" s="17">
        <v>0</v>
      </c>
      <c r="J169" s="18">
        <v>0</v>
      </c>
      <c r="K169" s="19">
        <v>0.05</v>
      </c>
      <c r="L169" s="20">
        <v>5.5555555555555573E-2</v>
      </c>
      <c r="M169" s="21">
        <v>0</v>
      </c>
      <c r="N169" s="30">
        <v>107.91086350974932</v>
      </c>
      <c r="O169" s="227">
        <v>5.5938252327849245</v>
      </c>
      <c r="P169" s="239"/>
      <c r="Q169" s="239"/>
      <c r="R169" s="306"/>
      <c r="S169" s="306"/>
    </row>
    <row r="170" spans="1:20" ht="28.5" customHeight="1" x14ac:dyDescent="0.35">
      <c r="A170" s="1" t="s">
        <v>414</v>
      </c>
      <c r="B170" s="1" t="s">
        <v>32</v>
      </c>
      <c r="C170" s="222" t="s">
        <v>429</v>
      </c>
      <c r="D170" s="71" t="s">
        <v>918</v>
      </c>
      <c r="E170" s="82" t="s">
        <v>430</v>
      </c>
      <c r="F170" s="623" t="e">
        <f ca="1">_xll.JChemExcel.Functions.JCSYSStructure("847814DA735FEBF7CD9FC098068CAEC3")</f>
        <v>#NAME?</v>
      </c>
      <c r="G170" s="282"/>
      <c r="H170" s="16">
        <v>0</v>
      </c>
      <c r="I170" s="17">
        <v>0</v>
      </c>
      <c r="J170" s="18">
        <v>1</v>
      </c>
      <c r="K170" s="19">
        <v>0.1</v>
      </c>
      <c r="L170" s="20">
        <v>5.5555555555555573E-2</v>
      </c>
      <c r="M170" s="21">
        <v>0</v>
      </c>
      <c r="N170" s="30">
        <v>119.87561420258191</v>
      </c>
      <c r="O170" s="227">
        <v>20.4297842579799</v>
      </c>
      <c r="P170" s="239"/>
      <c r="Q170" s="239"/>
      <c r="R170" s="306"/>
      <c r="S170" s="306"/>
    </row>
    <row r="171" spans="1:20" ht="28.5" customHeight="1" x14ac:dyDescent="0.35">
      <c r="A171" s="1" t="s">
        <v>414</v>
      </c>
      <c r="B171" s="1" t="s">
        <v>35</v>
      </c>
      <c r="C171" s="222" t="s">
        <v>431</v>
      </c>
      <c r="D171" s="71" t="s">
        <v>919</v>
      </c>
      <c r="E171" s="82" t="s">
        <v>432</v>
      </c>
      <c r="F171" s="623" t="e">
        <f ca="1">_xll.JChemExcel.Functions.JCSYSStructure("07161A4B51F8BFEB15B1ABCC0F277525")</f>
        <v>#NAME?</v>
      </c>
      <c r="G171" s="282"/>
      <c r="H171" s="16">
        <v>0</v>
      </c>
      <c r="I171" s="17">
        <v>0</v>
      </c>
      <c r="J171" s="18">
        <v>0</v>
      </c>
      <c r="K171" s="19">
        <v>0.1</v>
      </c>
      <c r="L171" s="20">
        <v>0</v>
      </c>
      <c r="M171" s="21">
        <v>0</v>
      </c>
      <c r="N171" s="30">
        <v>80.615719166908434</v>
      </c>
      <c r="O171" s="227">
        <v>17.566864604525552</v>
      </c>
      <c r="P171" s="239"/>
      <c r="Q171" s="239"/>
      <c r="R171" s="306"/>
      <c r="S171" s="306"/>
    </row>
    <row r="172" spans="1:20" ht="28.5" customHeight="1" x14ac:dyDescent="0.35">
      <c r="A172" s="1" t="s">
        <v>414</v>
      </c>
      <c r="B172" s="1" t="s">
        <v>38</v>
      </c>
      <c r="C172" s="222" t="s">
        <v>433</v>
      </c>
      <c r="D172" s="71" t="s">
        <v>916</v>
      </c>
      <c r="E172" s="82" t="s">
        <v>434</v>
      </c>
      <c r="F172" s="623" t="e">
        <f ca="1">_xll.JChemExcel.Functions.JCSYSStructure("BDAD0DB833B6E33789B8FA5E5D3D0092")</f>
        <v>#NAME?</v>
      </c>
      <c r="G172" s="282"/>
      <c r="H172" s="16">
        <v>0</v>
      </c>
      <c r="I172" s="17">
        <v>0</v>
      </c>
      <c r="J172" s="18">
        <v>0</v>
      </c>
      <c r="K172" s="19">
        <v>0.1</v>
      </c>
      <c r="L172" s="20">
        <v>5.5555555555555573E-2</v>
      </c>
      <c r="M172" s="21">
        <v>6.25E-2</v>
      </c>
      <c r="N172" s="30">
        <v>110.52206777064109</v>
      </c>
      <c r="O172" s="227">
        <v>11.407389785982762</v>
      </c>
      <c r="P172" s="239"/>
      <c r="Q172" s="239"/>
      <c r="R172" s="306"/>
      <c r="S172" s="306"/>
    </row>
    <row r="173" spans="1:20" ht="28.5" customHeight="1" x14ac:dyDescent="0.35">
      <c r="A173" s="1" t="s">
        <v>414</v>
      </c>
      <c r="B173" s="1" t="s">
        <v>41</v>
      </c>
      <c r="C173" s="222" t="s">
        <v>435</v>
      </c>
      <c r="D173" s="71" t="s">
        <v>918</v>
      </c>
      <c r="E173" s="82" t="s">
        <v>436</v>
      </c>
      <c r="F173" s="623" t="e">
        <f ca="1">_xll.JChemExcel.Functions.JCSYSStructure("CF1D05DC8FD5E08930C60DD9786FEB47")</f>
        <v>#NAME?</v>
      </c>
      <c r="G173" s="282"/>
      <c r="H173" s="16">
        <v>0</v>
      </c>
      <c r="I173" s="17">
        <v>0</v>
      </c>
      <c r="J173" s="18">
        <v>0</v>
      </c>
      <c r="K173" s="19">
        <v>0.15</v>
      </c>
      <c r="L173" s="20">
        <v>0.22222222222222215</v>
      </c>
      <c r="M173" s="21">
        <v>0.375</v>
      </c>
      <c r="N173" s="30">
        <v>137.26720467890624</v>
      </c>
      <c r="O173" s="227">
        <v>42.962273280382909</v>
      </c>
      <c r="P173" s="239"/>
      <c r="Q173" s="239"/>
      <c r="R173" s="241">
        <v>1</v>
      </c>
      <c r="S173" s="241"/>
    </row>
    <row r="174" spans="1:20" ht="28.5" customHeight="1" x14ac:dyDescent="0.35">
      <c r="A174" s="1" t="s">
        <v>414</v>
      </c>
      <c r="B174" s="1" t="s">
        <v>44</v>
      </c>
      <c r="C174" s="222" t="s">
        <v>437</v>
      </c>
      <c r="D174" s="71" t="s">
        <v>919</v>
      </c>
      <c r="E174" s="82" t="s">
        <v>438</v>
      </c>
      <c r="F174" s="623" t="e">
        <f ca="1">_xll.JChemExcel.Functions.JCSYSStructure("B47B1A62566A95CA5B7D4EBFBDEB3A49")</f>
        <v>#NAME?</v>
      </c>
      <c r="G174" s="282"/>
      <c r="H174" s="16">
        <v>0</v>
      </c>
      <c r="I174" s="17">
        <v>0</v>
      </c>
      <c r="J174" s="18">
        <v>0</v>
      </c>
      <c r="K174" s="19">
        <v>0.1</v>
      </c>
      <c r="L174" s="20">
        <v>0.11111111111111115</v>
      </c>
      <c r="M174" s="21">
        <v>0.25</v>
      </c>
      <c r="N174" s="30">
        <v>85.901221197678439</v>
      </c>
      <c r="O174" s="227">
        <v>21.886986796793515</v>
      </c>
      <c r="P174" s="239"/>
      <c r="Q174" s="239"/>
      <c r="R174" s="306"/>
      <c r="S174" s="306"/>
    </row>
    <row r="175" spans="1:20" ht="28.5" customHeight="1" x14ac:dyDescent="0.35">
      <c r="A175" s="1" t="s">
        <v>414</v>
      </c>
      <c r="B175" s="1" t="s">
        <v>47</v>
      </c>
      <c r="C175" s="222" t="s">
        <v>439</v>
      </c>
      <c r="D175" s="71" t="s">
        <v>916</v>
      </c>
      <c r="E175" s="82" t="s">
        <v>440</v>
      </c>
      <c r="F175" s="623" t="e">
        <f ca="1">_xll.JChemExcel.Functions.JCSYSStructure("E2A21B38010ECB1AC2374E46761E7970")</f>
        <v>#NAME?</v>
      </c>
      <c r="G175" s="282"/>
      <c r="H175" s="16">
        <v>0</v>
      </c>
      <c r="I175" s="17">
        <v>0</v>
      </c>
      <c r="J175" s="18">
        <v>0</v>
      </c>
      <c r="K175" s="19">
        <v>0.1</v>
      </c>
      <c r="L175" s="20">
        <v>5.5555555555555573E-2</v>
      </c>
      <c r="M175" s="21">
        <v>0.125</v>
      </c>
      <c r="N175" s="30">
        <v>113.65584606456474</v>
      </c>
      <c r="O175" s="227">
        <v>32.953052299349174</v>
      </c>
      <c r="P175" s="239"/>
      <c r="Q175" s="239"/>
      <c r="R175" s="306"/>
      <c r="S175" s="306"/>
    </row>
    <row r="176" spans="1:20" ht="28.5" customHeight="1" x14ac:dyDescent="0.35">
      <c r="A176" s="1" t="s">
        <v>414</v>
      </c>
      <c r="B176" s="1" t="s">
        <v>50</v>
      </c>
      <c r="C176" s="222" t="s">
        <v>441</v>
      </c>
      <c r="D176" s="71" t="s">
        <v>916</v>
      </c>
      <c r="E176" s="82" t="s">
        <v>442</v>
      </c>
      <c r="F176" s="623" t="e">
        <f ca="1">_xll.JChemExcel.Functions.JCSYSStructure("AAEE8D6A21A67C1008D0F6D58D10F5E4")</f>
        <v>#NAME?</v>
      </c>
      <c r="G176" s="282"/>
      <c r="H176" s="16">
        <v>0</v>
      </c>
      <c r="I176" s="17">
        <v>0</v>
      </c>
      <c r="J176" s="18">
        <v>0</v>
      </c>
      <c r="K176" s="19">
        <v>0.1</v>
      </c>
      <c r="L176" s="20">
        <v>0.11111111111111115</v>
      </c>
      <c r="M176" s="21">
        <v>0.1875</v>
      </c>
      <c r="N176" s="30">
        <v>94.432722117529551</v>
      </c>
      <c r="O176" s="227">
        <v>8.2968639307268042</v>
      </c>
      <c r="P176" s="239"/>
      <c r="Q176" s="239"/>
      <c r="R176" s="306"/>
      <c r="S176" s="306"/>
    </row>
    <row r="177" spans="1:19" ht="28.5" customHeight="1" x14ac:dyDescent="0.35">
      <c r="A177" s="1" t="s">
        <v>414</v>
      </c>
      <c r="B177" s="1" t="s">
        <v>53</v>
      </c>
      <c r="C177" s="222" t="s">
        <v>443</v>
      </c>
      <c r="D177" s="71" t="s">
        <v>916</v>
      </c>
      <c r="E177" s="82" t="s">
        <v>444</v>
      </c>
      <c r="F177" s="623" t="e">
        <f ca="1">_xll.JChemExcel.Functions.JCSYSStructure("8DDEB050DEE822E592330E4A8C13CCE2")</f>
        <v>#NAME?</v>
      </c>
      <c r="G177" s="282"/>
      <c r="H177" s="16">
        <v>2</v>
      </c>
      <c r="I177" s="17">
        <v>0</v>
      </c>
      <c r="J177" s="18">
        <v>1</v>
      </c>
      <c r="K177" s="19">
        <v>0.1</v>
      </c>
      <c r="L177" s="20">
        <v>5.5555555555555573E-2</v>
      </c>
      <c r="M177" s="21">
        <v>0.1875</v>
      </c>
      <c r="N177" s="30">
        <v>71.086350974930411</v>
      </c>
      <c r="O177" s="227">
        <v>3.6241684606776357</v>
      </c>
      <c r="P177" s="239"/>
      <c r="Q177" s="239"/>
      <c r="R177" s="306"/>
      <c r="S177" s="306"/>
    </row>
    <row r="178" spans="1:19" ht="28.5" customHeight="1" x14ac:dyDescent="0.35">
      <c r="A178" s="1" t="s">
        <v>414</v>
      </c>
      <c r="B178" s="1" t="s">
        <v>56</v>
      </c>
      <c r="C178" s="222" t="s">
        <v>445</v>
      </c>
      <c r="D178" s="71" t="s">
        <v>916</v>
      </c>
      <c r="E178" s="82" t="s">
        <v>446</v>
      </c>
      <c r="F178" s="623" t="e">
        <f ca="1">_xll.JChemExcel.Functions.JCSYSStructure("701A2642D4E7AFADEFF237AA983787AB")</f>
        <v>#NAME?</v>
      </c>
      <c r="G178" s="282"/>
      <c r="H178" s="16">
        <v>0</v>
      </c>
      <c r="I178" s="17">
        <v>0</v>
      </c>
      <c r="J178" s="18">
        <v>0</v>
      </c>
      <c r="K178" s="19">
        <v>0.2</v>
      </c>
      <c r="L178" s="20">
        <v>0.11111111111111115</v>
      </c>
      <c r="M178" s="21">
        <v>6.25E-2</v>
      </c>
      <c r="N178" s="30">
        <v>111.7619274317659</v>
      </c>
      <c r="O178" s="227">
        <v>15.640178846758786</v>
      </c>
      <c r="P178" s="239"/>
      <c r="Q178" s="239"/>
      <c r="R178" s="306"/>
      <c r="S178" s="306"/>
    </row>
    <row r="179" spans="1:19" ht="28.5" customHeight="1" x14ac:dyDescent="0.35">
      <c r="A179" s="1" t="s">
        <v>414</v>
      </c>
      <c r="B179" s="1" t="s">
        <v>59</v>
      </c>
      <c r="C179" s="222" t="s">
        <v>447</v>
      </c>
      <c r="D179" s="71" t="s">
        <v>919</v>
      </c>
      <c r="E179" s="82" t="s">
        <v>448</v>
      </c>
      <c r="F179" s="623" t="e">
        <f ca="1">_xll.JChemExcel.Functions.JCSYSStructure("B60D75B07530B2B8B98ABA074A40E67D")</f>
        <v>#NAME?</v>
      </c>
      <c r="G179" s="282"/>
      <c r="H179" s="16">
        <v>1</v>
      </c>
      <c r="I179" s="17">
        <v>0</v>
      </c>
      <c r="J179" s="18">
        <v>0</v>
      </c>
      <c r="K179" s="19">
        <v>0.1</v>
      </c>
      <c r="L179" s="20">
        <v>5.5555555555555573E-2</v>
      </c>
      <c r="M179" s="21">
        <v>0.125</v>
      </c>
      <c r="N179" s="30">
        <v>81.894150417827333</v>
      </c>
      <c r="O179" s="227">
        <v>11.81794063264422</v>
      </c>
      <c r="P179" s="239"/>
      <c r="Q179" s="239"/>
      <c r="R179" s="306"/>
      <c r="S179" s="306"/>
    </row>
    <row r="180" spans="1:19" ht="28.5" customHeight="1" x14ac:dyDescent="0.35">
      <c r="A180" s="1" t="s">
        <v>414</v>
      </c>
      <c r="B180" s="1" t="s">
        <v>62</v>
      </c>
      <c r="C180" s="222" t="s">
        <v>449</v>
      </c>
      <c r="D180" s="71" t="s">
        <v>919</v>
      </c>
      <c r="E180" s="82" t="s">
        <v>450</v>
      </c>
      <c r="F180" s="623" t="e">
        <f ca="1">_xll.JChemExcel.Functions.JCSYSStructure("B5B2503B0891FB318CC857DE642BD9C0")</f>
        <v>#NAME?</v>
      </c>
      <c r="G180" s="282"/>
      <c r="H180" s="16">
        <v>0</v>
      </c>
      <c r="I180" s="17">
        <v>0</v>
      </c>
      <c r="J180" s="18">
        <v>0</v>
      </c>
      <c r="K180" s="19">
        <v>0.1</v>
      </c>
      <c r="L180" s="20">
        <v>5.5555555555555573E-2</v>
      </c>
      <c r="M180" s="21">
        <v>0.1875</v>
      </c>
      <c r="N180" s="30">
        <v>117.38161559888584</v>
      </c>
      <c r="O180" s="227">
        <v>1.4969391468023925</v>
      </c>
      <c r="P180" s="239"/>
      <c r="Q180" s="239"/>
      <c r="R180" s="306"/>
      <c r="S180" s="306"/>
    </row>
    <row r="181" spans="1:19" ht="28.5" customHeight="1" x14ac:dyDescent="0.35">
      <c r="A181" s="1" t="s">
        <v>414</v>
      </c>
      <c r="B181" s="1" t="s">
        <v>65</v>
      </c>
      <c r="C181" s="222" t="s">
        <v>451</v>
      </c>
      <c r="D181" s="71" t="s">
        <v>919</v>
      </c>
      <c r="E181" s="82" t="s">
        <v>452</v>
      </c>
      <c r="F181" s="623" t="e">
        <f ca="1">_xll.JChemExcel.Functions.JCSYSStructure("163EBDECF47EA4A07EAC8E62B7BDF793")</f>
        <v>#NAME?</v>
      </c>
      <c r="G181" s="282"/>
      <c r="H181" s="16">
        <v>0</v>
      </c>
      <c r="I181" s="17">
        <v>1</v>
      </c>
      <c r="J181" s="18">
        <v>1</v>
      </c>
      <c r="K181" s="19">
        <v>0.05</v>
      </c>
      <c r="L181" s="20">
        <v>5.5555555555555573E-2</v>
      </c>
      <c r="M181" s="21">
        <v>6.25E-2</v>
      </c>
      <c r="N181" s="30">
        <v>130.79948373934863</v>
      </c>
      <c r="O181" s="227">
        <v>15.823827327727916</v>
      </c>
      <c r="P181" s="239"/>
      <c r="Q181" s="239"/>
      <c r="R181" s="241">
        <v>1</v>
      </c>
      <c r="S181" s="241"/>
    </row>
    <row r="182" spans="1:19" ht="28.5" customHeight="1" x14ac:dyDescent="0.35">
      <c r="A182" s="1" t="s">
        <v>414</v>
      </c>
      <c r="B182" s="1" t="s">
        <v>68</v>
      </c>
      <c r="C182" s="222" t="s">
        <v>453</v>
      </c>
      <c r="D182" s="71" t="s">
        <v>919</v>
      </c>
      <c r="E182" s="82" t="s">
        <v>454</v>
      </c>
      <c r="F182" s="623" t="e">
        <f ca="1">_xll.JChemExcel.Functions.JCSYSStructure("B1E071F173D31C453D75AB1E1DEA099F")</f>
        <v>#NAME?</v>
      </c>
      <c r="G182" s="282"/>
      <c r="H182" s="16">
        <v>0</v>
      </c>
      <c r="I182" s="17">
        <v>0</v>
      </c>
      <c r="J182" s="18">
        <v>0</v>
      </c>
      <c r="K182" s="19">
        <v>0.4</v>
      </c>
      <c r="L182" s="20">
        <v>0.33333333333333343</v>
      </c>
      <c r="M182" s="21">
        <v>0.3125</v>
      </c>
      <c r="N182" s="30">
        <v>22.704898956985502</v>
      </c>
      <c r="O182" s="227">
        <v>12.923030851445224</v>
      </c>
      <c r="P182" s="239"/>
      <c r="Q182" s="239">
        <v>1</v>
      </c>
      <c r="R182" s="306"/>
      <c r="S182" s="306"/>
    </row>
    <row r="183" spans="1:19" ht="28.5" customHeight="1" x14ac:dyDescent="0.35">
      <c r="A183" s="1" t="s">
        <v>414</v>
      </c>
      <c r="B183" s="1" t="s">
        <v>71</v>
      </c>
      <c r="C183" s="222" t="s">
        <v>455</v>
      </c>
      <c r="D183" s="71" t="s">
        <v>916</v>
      </c>
      <c r="E183" s="82" t="s">
        <v>456</v>
      </c>
      <c r="F183" s="623" t="e">
        <f ca="1">_xll.JChemExcel.Functions.JCSYSStructure("284BBFF02C256CE213C53FB986D635DE")</f>
        <v>#NAME?</v>
      </c>
      <c r="G183" s="282"/>
      <c r="H183" s="16">
        <v>0</v>
      </c>
      <c r="I183" s="17">
        <v>1</v>
      </c>
      <c r="J183" s="18">
        <v>0</v>
      </c>
      <c r="K183" s="19">
        <v>0.1</v>
      </c>
      <c r="L183" s="20">
        <v>0.11111111111111115</v>
      </c>
      <c r="M183" s="21">
        <v>6.25E-2</v>
      </c>
      <c r="N183" s="30">
        <v>137.65236274953463</v>
      </c>
      <c r="O183" s="227">
        <v>19.110832122488606</v>
      </c>
      <c r="P183" s="239"/>
      <c r="Q183" s="239"/>
      <c r="R183" s="241">
        <v>1</v>
      </c>
      <c r="S183" s="241"/>
    </row>
    <row r="184" spans="1:19" ht="28.5" customHeight="1" x14ac:dyDescent="0.35">
      <c r="A184" s="1" t="s">
        <v>414</v>
      </c>
      <c r="B184" s="1" t="s">
        <v>74</v>
      </c>
      <c r="C184" s="222" t="s">
        <v>457</v>
      </c>
      <c r="D184" s="71" t="s">
        <v>919</v>
      </c>
      <c r="E184" s="82" t="s">
        <v>458</v>
      </c>
      <c r="F184" s="623" t="e">
        <f ca="1">_xll.JChemExcel.Functions.JCSYSStructure("B6E8A31BC51BBEBE459CFE7ECC6B6EB8")</f>
        <v>#NAME?</v>
      </c>
      <c r="G184" s="282"/>
      <c r="H184" s="16">
        <v>2</v>
      </c>
      <c r="I184" s="17">
        <v>4</v>
      </c>
      <c r="J184" s="18">
        <v>4</v>
      </c>
      <c r="K184" s="19">
        <v>0.6</v>
      </c>
      <c r="L184" s="20">
        <v>0.61111111111111105</v>
      </c>
      <c r="M184" s="21">
        <v>0.625</v>
      </c>
      <c r="N184" s="188">
        <v>32.410225197808863</v>
      </c>
      <c r="O184" s="228">
        <v>3.9594536743251574</v>
      </c>
      <c r="P184" s="239">
        <v>1</v>
      </c>
      <c r="Q184" s="239"/>
      <c r="R184" s="306"/>
      <c r="S184" s="306"/>
    </row>
    <row r="185" spans="1:19" ht="28.5" customHeight="1" x14ac:dyDescent="0.35">
      <c r="A185" s="1" t="s">
        <v>414</v>
      </c>
      <c r="B185" s="1" t="s">
        <v>77</v>
      </c>
      <c r="C185" s="222" t="s">
        <v>459</v>
      </c>
      <c r="D185" s="71" t="s">
        <v>916</v>
      </c>
      <c r="E185" s="82" t="s">
        <v>460</v>
      </c>
      <c r="F185" s="623" t="e">
        <f ca="1">_xll.JChemExcel.Functions.JCSYSStructure("CB764B58FB38E633E6CD349F71AC0C4D")</f>
        <v>#NAME?</v>
      </c>
      <c r="G185" s="282"/>
      <c r="H185" s="16">
        <v>1</v>
      </c>
      <c r="I185" s="17">
        <v>1</v>
      </c>
      <c r="J185" s="18">
        <v>2</v>
      </c>
      <c r="K185" s="32">
        <v>0</v>
      </c>
      <c r="L185" s="33">
        <v>0</v>
      </c>
      <c r="M185" s="34">
        <v>0</v>
      </c>
      <c r="N185" s="42">
        <v>110.14614982061633</v>
      </c>
      <c r="O185" s="227">
        <v>32.3257309486971</v>
      </c>
      <c r="P185" s="239"/>
      <c r="Q185" s="239"/>
      <c r="R185" s="306"/>
      <c r="S185" s="306"/>
    </row>
    <row r="186" spans="1:19" ht="28.5" customHeight="1" x14ac:dyDescent="0.35">
      <c r="A186" s="1" t="s">
        <v>414</v>
      </c>
      <c r="B186" s="1" t="s">
        <v>80</v>
      </c>
      <c r="C186" s="222" t="s">
        <v>461</v>
      </c>
      <c r="D186" s="71" t="s">
        <v>916</v>
      </c>
      <c r="E186" s="82" t="s">
        <v>462</v>
      </c>
      <c r="F186" s="623" t="e">
        <f ca="1">_xll.JChemExcel.Functions.JCSYSStructure("EC8E9C292480354FC346D1373D64B544")</f>
        <v>#NAME?</v>
      </c>
      <c r="G186" s="282"/>
      <c r="H186" s="16">
        <v>3</v>
      </c>
      <c r="I186" s="17">
        <v>4</v>
      </c>
      <c r="J186" s="18">
        <v>4</v>
      </c>
      <c r="K186" s="19">
        <v>0.15</v>
      </c>
      <c r="L186" s="20">
        <v>0.38888888888888884</v>
      </c>
      <c r="M186" s="21">
        <v>0.5625</v>
      </c>
      <c r="N186" s="320">
        <v>131.61898965307364</v>
      </c>
      <c r="O186" s="227">
        <v>5.5150389619007223</v>
      </c>
      <c r="P186" s="239"/>
      <c r="Q186" s="239"/>
      <c r="R186" s="241">
        <v>1</v>
      </c>
      <c r="S186" s="241">
        <v>1</v>
      </c>
    </row>
    <row r="187" spans="1:19" ht="28.5" customHeight="1" x14ac:dyDescent="0.35">
      <c r="A187" s="4" t="s">
        <v>414</v>
      </c>
      <c r="B187" s="4" t="s">
        <v>83</v>
      </c>
      <c r="C187" s="223" t="s">
        <v>463</v>
      </c>
      <c r="D187" s="71" t="s">
        <v>916</v>
      </c>
      <c r="E187" s="82" t="s">
        <v>464</v>
      </c>
      <c r="F187" s="623" t="e">
        <f ca="1">_xll.JChemExcel.Functions.JCSYSStructure("D37813404F6E21338DC7CA39314EE8AE")</f>
        <v>#NAME?</v>
      </c>
      <c r="G187" s="282"/>
      <c r="H187" s="24">
        <v>4</v>
      </c>
      <c r="I187" s="25">
        <v>4</v>
      </c>
      <c r="J187" s="26">
        <v>4</v>
      </c>
      <c r="K187" s="27">
        <v>1</v>
      </c>
      <c r="L187" s="28">
        <v>1</v>
      </c>
      <c r="M187" s="29">
        <v>1</v>
      </c>
      <c r="N187" s="30">
        <v>-0.44845194022924739</v>
      </c>
      <c r="O187" s="227">
        <v>3.3894616005106926</v>
      </c>
      <c r="P187" s="239">
        <v>1</v>
      </c>
      <c r="Q187" s="239"/>
      <c r="R187" s="306"/>
      <c r="S187" s="306"/>
    </row>
    <row r="188" spans="1:19" ht="28.5" customHeight="1" x14ac:dyDescent="0.35">
      <c r="A188" s="1" t="s">
        <v>414</v>
      </c>
      <c r="B188" s="1" t="s">
        <v>86</v>
      </c>
      <c r="C188" s="222" t="s">
        <v>465</v>
      </c>
      <c r="D188" s="71" t="s">
        <v>916</v>
      </c>
      <c r="E188" s="82" t="s">
        <v>466</v>
      </c>
      <c r="F188" s="623" t="e">
        <f ca="1">_xll.JChemExcel.Functions.JCSYSStructure("5E546CA8506AF5DE06483F06DF02FEE8")</f>
        <v>#NAME?</v>
      </c>
      <c r="G188" s="282"/>
      <c r="H188" s="16">
        <v>1</v>
      </c>
      <c r="I188" s="17">
        <v>0</v>
      </c>
      <c r="J188" s="18">
        <v>1</v>
      </c>
      <c r="K188" s="19">
        <v>0.1</v>
      </c>
      <c r="L188" s="20">
        <v>0.16666666666666657</v>
      </c>
      <c r="M188" s="21">
        <v>0.1875</v>
      </c>
      <c r="N188" s="30">
        <v>94.226856821844279</v>
      </c>
      <c r="O188" s="227">
        <v>30.95112693852192</v>
      </c>
      <c r="P188" s="239"/>
      <c r="Q188" s="239"/>
      <c r="R188" s="306"/>
      <c r="S188" s="306"/>
    </row>
    <row r="189" spans="1:19" ht="28.5" customHeight="1" x14ac:dyDescent="0.35">
      <c r="A189" s="1" t="s">
        <v>414</v>
      </c>
      <c r="B189" s="1" t="s">
        <v>89</v>
      </c>
      <c r="C189" s="222" t="s">
        <v>467</v>
      </c>
      <c r="D189" s="71" t="s">
        <v>920</v>
      </c>
      <c r="E189" s="82" t="s">
        <v>468</v>
      </c>
      <c r="F189" s="623" t="e">
        <f ca="1">_xll.JChemExcel.Functions.JCSYSStructure("89EFFD2067FA6A166F173DED813E735F")</f>
        <v>#NAME?</v>
      </c>
      <c r="G189" s="282"/>
      <c r="H189" s="16">
        <v>0</v>
      </c>
      <c r="I189" s="17">
        <v>0</v>
      </c>
      <c r="J189" s="18">
        <v>0</v>
      </c>
      <c r="K189" s="19">
        <v>0.1</v>
      </c>
      <c r="L189" s="20">
        <v>0.22222222222222215</v>
      </c>
      <c r="M189" s="21">
        <v>0.1875</v>
      </c>
      <c r="N189" s="30">
        <v>124.17827298050145</v>
      </c>
      <c r="O189" s="227">
        <v>29.229706498073408</v>
      </c>
      <c r="P189" s="239"/>
      <c r="Q189" s="239"/>
      <c r="R189" s="241"/>
      <c r="S189" s="241"/>
    </row>
    <row r="190" spans="1:19" ht="28.5" customHeight="1" x14ac:dyDescent="0.35">
      <c r="A190" s="1" t="s">
        <v>414</v>
      </c>
      <c r="B190" s="1" t="s">
        <v>92</v>
      </c>
      <c r="C190" s="222" t="s">
        <v>469</v>
      </c>
      <c r="D190" s="71" t="s">
        <v>919</v>
      </c>
      <c r="E190" s="82" t="s">
        <v>470</v>
      </c>
      <c r="F190" s="623" t="e">
        <f ca="1">_xll.JChemExcel.Functions.JCSYSStructure("1EC444F9FDF0564B3A26E441DD542EDA")</f>
        <v>#NAME?</v>
      </c>
      <c r="G190" s="282"/>
      <c r="H190" s="16">
        <v>0</v>
      </c>
      <c r="I190" s="17">
        <v>0</v>
      </c>
      <c r="J190" s="18">
        <v>0</v>
      </c>
      <c r="K190" s="19">
        <v>0.1</v>
      </c>
      <c r="L190" s="20">
        <v>0.11111111111111115</v>
      </c>
      <c r="M190" s="21">
        <v>0.125</v>
      </c>
      <c r="N190" s="30">
        <v>115.00021665500176</v>
      </c>
      <c r="O190" s="227">
        <v>69.001371505329018</v>
      </c>
      <c r="P190" s="239"/>
      <c r="Q190" s="239"/>
      <c r="R190" s="306"/>
      <c r="S190" s="306"/>
    </row>
    <row r="191" spans="1:19" ht="28.5" customHeight="1" x14ac:dyDescent="0.35">
      <c r="A191" s="1" t="s">
        <v>414</v>
      </c>
      <c r="B191" s="1" t="s">
        <v>95</v>
      </c>
      <c r="C191" s="222" t="s">
        <v>471</v>
      </c>
      <c r="D191" s="71" t="s">
        <v>919</v>
      </c>
      <c r="E191" s="82" t="s">
        <v>472</v>
      </c>
      <c r="F191" s="623" t="e">
        <f ca="1">_xll.JChemExcel.Functions.JCSYSStructure("298D2AF858C604334882AE4335C5850C")</f>
        <v>#NAME?</v>
      </c>
      <c r="G191" s="282"/>
      <c r="H191" s="16">
        <v>0</v>
      </c>
      <c r="I191" s="17">
        <v>0</v>
      </c>
      <c r="J191" s="18">
        <v>1</v>
      </c>
      <c r="K191" s="19">
        <v>0.1</v>
      </c>
      <c r="L191" s="20">
        <v>0.11111111111111115</v>
      </c>
      <c r="M191" s="21">
        <v>0.1875</v>
      </c>
      <c r="N191" s="30">
        <v>143.6214615288153</v>
      </c>
      <c r="O191" s="227">
        <v>31.066083095804814</v>
      </c>
      <c r="P191" s="239"/>
      <c r="Q191" s="239"/>
      <c r="R191" s="241">
        <v>1</v>
      </c>
      <c r="S191" s="241"/>
    </row>
    <row r="192" spans="1:19" ht="28.5" customHeight="1" x14ac:dyDescent="0.35">
      <c r="A192" s="1" t="s">
        <v>414</v>
      </c>
      <c r="B192" s="1" t="s">
        <v>98</v>
      </c>
      <c r="C192" s="222" t="s">
        <v>473</v>
      </c>
      <c r="D192" s="71" t="s">
        <v>918</v>
      </c>
      <c r="E192" s="82" t="s">
        <v>474</v>
      </c>
      <c r="F192" s="623" t="e">
        <f ca="1">_xll.JChemExcel.Functions.JCSYSStructure("0A0BFAB758D541273C65E98BEF5BA689")</f>
        <v>#NAME?</v>
      </c>
      <c r="G192" s="282"/>
      <c r="H192" s="16">
        <v>0</v>
      </c>
      <c r="I192" s="17">
        <v>0</v>
      </c>
      <c r="J192" s="18">
        <v>1</v>
      </c>
      <c r="K192" s="19">
        <v>0.2</v>
      </c>
      <c r="L192" s="20">
        <v>0.11111111111111115</v>
      </c>
      <c r="M192" s="21">
        <v>0.25</v>
      </c>
      <c r="N192" s="30">
        <v>97.310550983800255</v>
      </c>
      <c r="O192" s="227">
        <v>4.0744639413549466</v>
      </c>
      <c r="P192" s="239"/>
      <c r="Q192" s="239"/>
      <c r="R192" s="306"/>
      <c r="S192" s="306"/>
    </row>
    <row r="193" spans="1:19" ht="28.5" customHeight="1" x14ac:dyDescent="0.35">
      <c r="A193" s="1" t="s">
        <v>414</v>
      </c>
      <c r="B193" s="1" t="s">
        <v>101</v>
      </c>
      <c r="C193" s="222" t="s">
        <v>475</v>
      </c>
      <c r="D193" s="71" t="s">
        <v>919</v>
      </c>
      <c r="E193" s="82" t="s">
        <v>476</v>
      </c>
      <c r="F193" s="623" t="e">
        <f ca="1">_xll.JChemExcel.Functions.JCSYSStructure("EC86555269C592543698565FB0C0939A")</f>
        <v>#NAME?</v>
      </c>
      <c r="G193" s="282"/>
      <c r="H193" s="16">
        <v>0</v>
      </c>
      <c r="I193" s="17">
        <v>0</v>
      </c>
      <c r="J193" s="18">
        <v>0</v>
      </c>
      <c r="K193" s="19">
        <v>0.35</v>
      </c>
      <c r="L193" s="20">
        <v>0.33333333333333343</v>
      </c>
      <c r="M193" s="21">
        <v>0.375</v>
      </c>
      <c r="N193" s="30">
        <v>112.91715294475277</v>
      </c>
      <c r="O193" s="227">
        <v>18.860574543089356</v>
      </c>
      <c r="P193" s="239"/>
      <c r="Q193" s="239"/>
      <c r="R193" s="306"/>
      <c r="S193" s="306"/>
    </row>
    <row r="194" spans="1:19" ht="28.5" customHeight="1" x14ac:dyDescent="0.35">
      <c r="A194" s="1" t="s">
        <v>414</v>
      </c>
      <c r="B194" s="1" t="s">
        <v>104</v>
      </c>
      <c r="C194" s="222" t="s">
        <v>477</v>
      </c>
      <c r="D194" s="71" t="s">
        <v>919</v>
      </c>
      <c r="E194" s="82" t="s">
        <v>478</v>
      </c>
      <c r="F194" s="623" t="e">
        <f ca="1">_xll.JChemExcel.Functions.JCSYSStructure("FC6FC4C7C1B2097987CC021B12BEF25F")</f>
        <v>#NAME?</v>
      </c>
      <c r="G194" s="282"/>
      <c r="H194" s="16">
        <v>0</v>
      </c>
      <c r="I194" s="17">
        <v>0</v>
      </c>
      <c r="J194" s="18">
        <v>0</v>
      </c>
      <c r="K194" s="19">
        <v>0.2</v>
      </c>
      <c r="L194" s="20">
        <v>0.16666666666666657</v>
      </c>
      <c r="M194" s="21">
        <v>0.25</v>
      </c>
      <c r="N194" s="30">
        <v>109.12830175287768</v>
      </c>
      <c r="O194" s="227">
        <v>36.306449753552826</v>
      </c>
      <c r="P194" s="239"/>
      <c r="Q194" s="239"/>
      <c r="R194" s="306"/>
      <c r="S194" s="306"/>
    </row>
    <row r="195" spans="1:19" ht="28.5" customHeight="1" x14ac:dyDescent="0.35">
      <c r="A195" s="1" t="s">
        <v>414</v>
      </c>
      <c r="B195" s="1" t="s">
        <v>107</v>
      </c>
      <c r="C195" s="222" t="s">
        <v>479</v>
      </c>
      <c r="D195" s="71" t="s">
        <v>916</v>
      </c>
      <c r="E195" s="82" t="s">
        <v>480</v>
      </c>
      <c r="F195" s="623" t="e">
        <f ca="1">_xll.JChemExcel.Functions.JCSYSStructure("35D2F28E4C3C72CF9040C427ED97B218")</f>
        <v>#NAME?</v>
      </c>
      <c r="G195" s="282"/>
      <c r="H195" s="16">
        <v>4</v>
      </c>
      <c r="I195" s="17">
        <v>4</v>
      </c>
      <c r="J195" s="18">
        <v>4</v>
      </c>
      <c r="K195" s="19">
        <v>0.35</v>
      </c>
      <c r="L195" s="20">
        <v>0.77777777777777768</v>
      </c>
      <c r="M195" s="21">
        <v>0.75</v>
      </c>
      <c r="N195" s="320">
        <v>158.27754108338405</v>
      </c>
      <c r="O195" s="227">
        <v>48.915941676602507</v>
      </c>
      <c r="P195" s="239"/>
      <c r="Q195" s="239"/>
      <c r="R195" s="241">
        <v>1</v>
      </c>
      <c r="S195" s="241">
        <v>1</v>
      </c>
    </row>
    <row r="196" spans="1:19" ht="28.5" customHeight="1" x14ac:dyDescent="0.35">
      <c r="A196" s="1" t="s">
        <v>414</v>
      </c>
      <c r="B196" s="1" t="s">
        <v>110</v>
      </c>
      <c r="C196" s="222" t="s">
        <v>481</v>
      </c>
      <c r="D196" s="71" t="s">
        <v>916</v>
      </c>
      <c r="E196" s="82" t="s">
        <v>482</v>
      </c>
      <c r="F196" s="623" t="e">
        <f ca="1">_xll.JChemExcel.Functions.JCSYSStructure("F5117C23CDA81291434746BA5C2606A6")</f>
        <v>#NAME?</v>
      </c>
      <c r="G196" s="282"/>
      <c r="H196" s="16">
        <v>2</v>
      </c>
      <c r="I196" s="17">
        <v>1</v>
      </c>
      <c r="J196" s="18">
        <v>1</v>
      </c>
      <c r="K196" s="19">
        <v>0.3</v>
      </c>
      <c r="L196" s="20">
        <v>0.55555555555555558</v>
      </c>
      <c r="M196" s="21">
        <v>0.6875</v>
      </c>
      <c r="N196" s="30">
        <v>110.72458519654245</v>
      </c>
      <c r="O196" s="227">
        <v>25.755454931711004</v>
      </c>
      <c r="P196" s="239"/>
      <c r="Q196" s="239"/>
      <c r="R196" s="306"/>
      <c r="S196" s="306"/>
    </row>
    <row r="197" spans="1:19" ht="28.5" customHeight="1" x14ac:dyDescent="0.35">
      <c r="A197" s="1" t="s">
        <v>414</v>
      </c>
      <c r="B197" s="1" t="s">
        <v>113</v>
      </c>
      <c r="C197" s="222" t="s">
        <v>483</v>
      </c>
      <c r="D197" s="71" t="s">
        <v>916</v>
      </c>
      <c r="E197" s="82" t="s">
        <v>484</v>
      </c>
      <c r="F197" s="623" t="e">
        <f ca="1">_xll.JChemExcel.Functions.JCSYSStructure("9723508BE3EA309E79F98B6F5625881D")</f>
        <v>#NAME?</v>
      </c>
      <c r="G197" s="282"/>
      <c r="H197" s="16">
        <v>0</v>
      </c>
      <c r="I197" s="17">
        <v>0</v>
      </c>
      <c r="J197" s="18">
        <v>0</v>
      </c>
      <c r="K197" s="19">
        <v>0.15</v>
      </c>
      <c r="L197" s="20">
        <v>0.16666666666666657</v>
      </c>
      <c r="M197" s="21">
        <v>0.375</v>
      </c>
      <c r="N197" s="30">
        <v>108.04175539717264</v>
      </c>
      <c r="O197" s="227">
        <v>29.711012704259783</v>
      </c>
      <c r="P197" s="239"/>
      <c r="Q197" s="239"/>
      <c r="R197" s="306"/>
      <c r="S197" s="306"/>
    </row>
    <row r="198" spans="1:19" ht="28.5" customHeight="1" x14ac:dyDescent="0.35">
      <c r="A198" s="1" t="s">
        <v>414</v>
      </c>
      <c r="B198" s="1" t="s">
        <v>116</v>
      </c>
      <c r="C198" s="222" t="s">
        <v>485</v>
      </c>
      <c r="D198" s="71" t="s">
        <v>916</v>
      </c>
      <c r="E198" s="82" t="s">
        <v>486</v>
      </c>
      <c r="F198" s="623" t="e">
        <f ca="1">_xll.JChemExcel.Functions.JCSYSStructure("59C5B22C31135F4349C599A7BE6CD092")</f>
        <v>#NAME?</v>
      </c>
      <c r="G198" s="282"/>
      <c r="H198" s="16">
        <v>0</v>
      </c>
      <c r="I198" s="17">
        <v>0</v>
      </c>
      <c r="J198" s="18">
        <v>0</v>
      </c>
      <c r="K198" s="19">
        <v>0.2</v>
      </c>
      <c r="L198" s="20">
        <v>0.27777777777777785</v>
      </c>
      <c r="M198" s="21">
        <v>0.25</v>
      </c>
      <c r="N198" s="30">
        <v>107.72634780215697</v>
      </c>
      <c r="O198" s="227">
        <v>29.987648785271368</v>
      </c>
      <c r="P198" s="239"/>
      <c r="Q198" s="239"/>
      <c r="R198" s="306"/>
      <c r="S198" s="306"/>
    </row>
    <row r="199" spans="1:19" ht="28.5" customHeight="1" x14ac:dyDescent="0.35">
      <c r="A199" s="1" t="s">
        <v>414</v>
      </c>
      <c r="B199" s="1" t="s">
        <v>119</v>
      </c>
      <c r="C199" s="222" t="s">
        <v>487</v>
      </c>
      <c r="D199" s="71" t="s">
        <v>919</v>
      </c>
      <c r="E199" s="82" t="s">
        <v>488</v>
      </c>
      <c r="F199" s="623" t="e">
        <f ca="1">_xll.JChemExcel.Functions.JCSYSStructure("AC390CE13FA932DDC6874E03542EC448")</f>
        <v>#NAME?</v>
      </c>
      <c r="G199" s="282"/>
      <c r="H199" s="16">
        <v>0</v>
      </c>
      <c r="I199" s="17">
        <v>0</v>
      </c>
      <c r="J199" s="18">
        <v>0</v>
      </c>
      <c r="K199" s="19">
        <v>0.2</v>
      </c>
      <c r="L199" s="20">
        <v>0.27777777777777785</v>
      </c>
      <c r="M199" s="21">
        <v>0.4375</v>
      </c>
      <c r="N199" s="30">
        <v>39.052924791086383</v>
      </c>
      <c r="O199" s="227">
        <v>20.563216700800989</v>
      </c>
      <c r="P199" s="239"/>
      <c r="Q199" s="239">
        <v>1</v>
      </c>
      <c r="R199" s="306"/>
      <c r="S199" s="306"/>
    </row>
    <row r="200" spans="1:19" ht="28.5" customHeight="1" x14ac:dyDescent="0.35">
      <c r="A200" s="1" t="s">
        <v>414</v>
      </c>
      <c r="B200" s="1" t="s">
        <v>122</v>
      </c>
      <c r="C200" s="222" t="s">
        <v>489</v>
      </c>
      <c r="D200" s="71" t="s">
        <v>916</v>
      </c>
      <c r="E200" s="82" t="s">
        <v>490</v>
      </c>
      <c r="F200" s="623" t="e">
        <f ca="1">_xll.JChemExcel.Functions.JCSYSStructure("A95AF50AB245B59FD0B6AE8443E2D861")</f>
        <v>#NAME?</v>
      </c>
      <c r="G200" s="282"/>
      <c r="H200" s="16">
        <v>1</v>
      </c>
      <c r="I200" s="17">
        <v>2</v>
      </c>
      <c r="J200" s="18">
        <v>4</v>
      </c>
      <c r="K200" s="19">
        <v>0.25</v>
      </c>
      <c r="L200" s="20">
        <v>0.44444444444444442</v>
      </c>
      <c r="M200" s="21">
        <v>0.5</v>
      </c>
      <c r="N200" s="319">
        <v>85.788192331101612</v>
      </c>
      <c r="O200" s="227">
        <v>13.236093508561716</v>
      </c>
      <c r="P200" s="239"/>
      <c r="Q200" s="239"/>
      <c r="R200" s="306"/>
      <c r="S200" s="306"/>
    </row>
    <row r="201" spans="1:19" ht="28.5" customHeight="1" x14ac:dyDescent="0.35">
      <c r="A201" s="1" t="s">
        <v>414</v>
      </c>
      <c r="B201" s="1" t="s">
        <v>125</v>
      </c>
      <c r="C201" s="222" t="s">
        <v>491</v>
      </c>
      <c r="D201" s="71" t="s">
        <v>916</v>
      </c>
      <c r="E201" s="82" t="s">
        <v>492</v>
      </c>
      <c r="F201" s="623" t="e">
        <f ca="1">_xll.JChemExcel.Functions.JCSYSStructure("107420BE223F9EBB3AFC9F6C31E49023")</f>
        <v>#NAME?</v>
      </c>
      <c r="G201" s="282"/>
      <c r="H201" s="16">
        <v>0</v>
      </c>
      <c r="I201" s="17">
        <v>0</v>
      </c>
      <c r="J201" s="18">
        <v>0</v>
      </c>
      <c r="K201" s="19">
        <v>0.2</v>
      </c>
      <c r="L201" s="20">
        <v>0.16666666666666657</v>
      </c>
      <c r="M201" s="21">
        <v>0.1875</v>
      </c>
      <c r="N201" s="30">
        <v>128.92986107583894</v>
      </c>
      <c r="O201" s="227">
        <v>2.8814522417678221</v>
      </c>
      <c r="P201" s="239"/>
      <c r="Q201" s="239"/>
      <c r="R201" s="306"/>
      <c r="S201" s="306"/>
    </row>
    <row r="202" spans="1:19" ht="28.5" customHeight="1" x14ac:dyDescent="0.35">
      <c r="A202" s="1" t="s">
        <v>414</v>
      </c>
      <c r="B202" s="1" t="s">
        <v>128</v>
      </c>
      <c r="C202" s="222" t="s">
        <v>493</v>
      </c>
      <c r="D202" s="71" t="s">
        <v>918</v>
      </c>
      <c r="E202" s="82" t="s">
        <v>494</v>
      </c>
      <c r="F202" s="623" t="e">
        <f ca="1">_xll.JChemExcel.Functions.JCSYSStructure("CFFF6BD32270D05A6B410AA3A7C4B4B2")</f>
        <v>#NAME?</v>
      </c>
      <c r="G202" s="282"/>
      <c r="H202" s="16">
        <v>1</v>
      </c>
      <c r="I202" s="17">
        <v>0</v>
      </c>
      <c r="J202" s="18">
        <v>0</v>
      </c>
      <c r="K202" s="19">
        <v>0.2</v>
      </c>
      <c r="L202" s="20">
        <v>0.27777777777777785</v>
      </c>
      <c r="M202" s="21">
        <v>0.3125</v>
      </c>
      <c r="N202" s="30">
        <v>5.6762366959241533</v>
      </c>
      <c r="O202" s="227">
        <v>6.2908803388824719</v>
      </c>
      <c r="P202" s="239"/>
      <c r="Q202" s="239">
        <v>1</v>
      </c>
      <c r="R202" s="306"/>
      <c r="S202" s="306"/>
    </row>
    <row r="203" spans="1:19" ht="28.5" customHeight="1" x14ac:dyDescent="0.35">
      <c r="A203" s="1" t="s">
        <v>414</v>
      </c>
      <c r="B203" s="1" t="s">
        <v>131</v>
      </c>
      <c r="C203" s="222" t="s">
        <v>495</v>
      </c>
      <c r="D203" s="71" t="s">
        <v>938</v>
      </c>
      <c r="E203" s="82" t="s">
        <v>496</v>
      </c>
      <c r="F203" s="623" t="e">
        <f ca="1">_xll.JChemExcel.Functions.JCSYSStructure("124B67DDD2D10F44376018C5FB69707B")</f>
        <v>#NAME?</v>
      </c>
      <c r="G203" s="282"/>
      <c r="H203" s="16">
        <v>0</v>
      </c>
      <c r="I203" s="17">
        <v>0</v>
      </c>
      <c r="J203" s="18">
        <v>0</v>
      </c>
      <c r="K203" s="19">
        <v>0.10526315789473685</v>
      </c>
      <c r="L203" s="20">
        <v>0.38888888888888884</v>
      </c>
      <c r="M203" s="21">
        <v>0.3125</v>
      </c>
      <c r="N203" s="30">
        <v>103.0186689654097</v>
      </c>
      <c r="O203" s="227">
        <v>24.006195034020188</v>
      </c>
      <c r="P203" s="239"/>
      <c r="Q203" s="239"/>
      <c r="R203" s="306"/>
      <c r="S203" s="306"/>
    </row>
    <row r="204" spans="1:19" ht="28.5" customHeight="1" x14ac:dyDescent="0.35">
      <c r="A204" s="1" t="s">
        <v>414</v>
      </c>
      <c r="B204" s="1" t="s">
        <v>134</v>
      </c>
      <c r="C204" s="222" t="s">
        <v>497</v>
      </c>
      <c r="D204" s="71" t="s">
        <v>919</v>
      </c>
      <c r="E204" s="82" t="s">
        <v>498</v>
      </c>
      <c r="F204" s="623" t="e">
        <f ca="1">_xll.JChemExcel.Functions.JCSYSStructure("F4F5765485167A2E62A4A081C2F2ABD5")</f>
        <v>#NAME?</v>
      </c>
      <c r="G204" s="282"/>
      <c r="H204" s="16">
        <v>0</v>
      </c>
      <c r="I204" s="17">
        <v>0</v>
      </c>
      <c r="J204" s="18">
        <v>0</v>
      </c>
      <c r="K204" s="19">
        <v>5.2631578947368494E-2</v>
      </c>
      <c r="L204" s="20">
        <v>0.16666666666666657</v>
      </c>
      <c r="M204" s="21">
        <v>0.25</v>
      </c>
      <c r="N204" s="30">
        <v>66.0621466024526</v>
      </c>
      <c r="O204" s="227">
        <v>16.468030919411781</v>
      </c>
      <c r="P204" s="239"/>
      <c r="Q204" s="239"/>
      <c r="R204" s="306"/>
      <c r="S204" s="306"/>
    </row>
    <row r="205" spans="1:19" ht="28.5" customHeight="1" x14ac:dyDescent="0.35">
      <c r="A205" s="1" t="s">
        <v>414</v>
      </c>
      <c r="B205" s="1" t="s">
        <v>137</v>
      </c>
      <c r="C205" s="222" t="s">
        <v>499</v>
      </c>
      <c r="D205" s="71" t="s">
        <v>916</v>
      </c>
      <c r="E205" s="82" t="s">
        <v>500</v>
      </c>
      <c r="F205" s="623" t="e">
        <f ca="1">_xll.JChemExcel.Functions.JCSYSStructure("40E1C0B616B2B94A3C74DD86AB7EB42D")</f>
        <v>#NAME?</v>
      </c>
      <c r="G205" s="282"/>
      <c r="H205" s="16">
        <v>0</v>
      </c>
      <c r="I205" s="17">
        <v>1</v>
      </c>
      <c r="J205" s="18">
        <v>0</v>
      </c>
      <c r="K205" s="19">
        <v>0.15789473684210534</v>
      </c>
      <c r="L205" s="20">
        <v>0.33333333333333343</v>
      </c>
      <c r="M205" s="21">
        <v>0.3125</v>
      </c>
      <c r="N205" s="30">
        <v>93.719396285337609</v>
      </c>
      <c r="O205" s="227">
        <v>26.078003132965019</v>
      </c>
      <c r="P205" s="239"/>
      <c r="Q205" s="239"/>
      <c r="R205" s="306"/>
      <c r="S205" s="306"/>
    </row>
    <row r="206" spans="1:19" ht="28.5" customHeight="1" x14ac:dyDescent="0.35">
      <c r="A206" s="1" t="s">
        <v>414</v>
      </c>
      <c r="B206" s="1" t="s">
        <v>140</v>
      </c>
      <c r="C206" s="222" t="s">
        <v>501</v>
      </c>
      <c r="D206" s="71" t="s">
        <v>916</v>
      </c>
      <c r="E206" s="82" t="s">
        <v>502</v>
      </c>
      <c r="F206" s="623" t="e">
        <f ca="1">_xll.JChemExcel.Functions.JCSYSStructure("FB46A91FE6533452AE6AA8F54EF4A101")</f>
        <v>#NAME?</v>
      </c>
      <c r="G206" s="282"/>
      <c r="H206" s="16">
        <v>0</v>
      </c>
      <c r="I206" s="17">
        <v>1</v>
      </c>
      <c r="J206" s="18">
        <v>0</v>
      </c>
      <c r="K206" s="19">
        <v>0.31578947368421056</v>
      </c>
      <c r="L206" s="20">
        <v>0.33333333333333343</v>
      </c>
      <c r="M206" s="21">
        <v>0.4375</v>
      </c>
      <c r="N206" s="30">
        <v>123.94995259894657</v>
      </c>
      <c r="O206" s="227">
        <v>42.452288915877475</v>
      </c>
      <c r="P206" s="239"/>
      <c r="Q206" s="239"/>
      <c r="R206" s="306"/>
      <c r="S206" s="306"/>
    </row>
    <row r="207" spans="1:19" ht="28.5" customHeight="1" x14ac:dyDescent="0.35">
      <c r="A207" s="1" t="s">
        <v>414</v>
      </c>
      <c r="B207" s="1" t="s">
        <v>143</v>
      </c>
      <c r="C207" s="222" t="s">
        <v>503</v>
      </c>
      <c r="D207" s="71" t="s">
        <v>916</v>
      </c>
      <c r="E207" s="82" t="s">
        <v>504</v>
      </c>
      <c r="F207" s="623" t="e">
        <f ca="1">_xll.JChemExcel.Functions.JCSYSStructure("C9A36A2643B75885E6047B118F417E0B")</f>
        <v>#NAME?</v>
      </c>
      <c r="G207" s="282"/>
      <c r="H207" s="16">
        <v>1</v>
      </c>
      <c r="I207" s="17">
        <v>0</v>
      </c>
      <c r="J207" s="18">
        <v>0</v>
      </c>
      <c r="K207" s="19">
        <v>0.10526315789473685</v>
      </c>
      <c r="L207" s="20">
        <v>5.5555555555555573E-2</v>
      </c>
      <c r="M207" s="21">
        <v>0</v>
      </c>
      <c r="N207" s="30">
        <v>66.825747873457033</v>
      </c>
      <c r="O207" s="227">
        <v>3.8250991727790864</v>
      </c>
      <c r="P207" s="239"/>
      <c r="Q207" s="239"/>
      <c r="R207" s="306"/>
      <c r="S207" s="306"/>
    </row>
    <row r="208" spans="1:19" ht="28.5" customHeight="1" x14ac:dyDescent="0.35">
      <c r="A208" s="1" t="s">
        <v>414</v>
      </c>
      <c r="B208" s="1" t="s">
        <v>146</v>
      </c>
      <c r="C208" s="222" t="s">
        <v>505</v>
      </c>
      <c r="D208" s="71" t="s">
        <v>916</v>
      </c>
      <c r="E208" s="82" t="s">
        <v>506</v>
      </c>
      <c r="F208" s="623" t="e">
        <f ca="1">_xll.JChemExcel.Functions.JCSYSStructure("29C1C31A85FC5CC7ECFEFA600F861573")</f>
        <v>#NAME?</v>
      </c>
      <c r="G208" s="282"/>
      <c r="H208" s="16">
        <v>0</v>
      </c>
      <c r="I208" s="17">
        <v>0</v>
      </c>
      <c r="J208" s="18">
        <v>0</v>
      </c>
      <c r="K208" s="19">
        <v>0.10526315789473685</v>
      </c>
      <c r="L208" s="20">
        <v>5.5555555555555573E-2</v>
      </c>
      <c r="M208" s="21">
        <v>0.125</v>
      </c>
      <c r="N208" s="30">
        <v>98.601719140699402</v>
      </c>
      <c r="O208" s="227">
        <v>15.276750731724201</v>
      </c>
      <c r="P208" s="239"/>
      <c r="Q208" s="239"/>
      <c r="R208" s="306"/>
      <c r="S208" s="306"/>
    </row>
    <row r="209" spans="1:19" ht="28.5" customHeight="1" x14ac:dyDescent="0.35">
      <c r="A209" s="1" t="s">
        <v>414</v>
      </c>
      <c r="B209" s="1" t="s">
        <v>149</v>
      </c>
      <c r="C209" s="222" t="s">
        <v>507</v>
      </c>
      <c r="D209" s="71" t="s">
        <v>919</v>
      </c>
      <c r="E209" s="82" t="s">
        <v>508</v>
      </c>
      <c r="F209" s="623" t="e">
        <f ca="1">_xll.JChemExcel.Functions.JCSYSStructure("726E79442ACA2BD058657DBCE9A2C7D3")</f>
        <v>#NAME?</v>
      </c>
      <c r="G209" s="282"/>
      <c r="H209" s="16">
        <v>4</v>
      </c>
      <c r="I209" s="17">
        <v>4</v>
      </c>
      <c r="J209" s="18">
        <v>4</v>
      </c>
      <c r="K209" s="19">
        <v>0.52631578947368429</v>
      </c>
      <c r="L209" s="20">
        <v>0.5</v>
      </c>
      <c r="M209" s="21">
        <v>0.5</v>
      </c>
      <c r="N209" s="30">
        <v>4.7353760445682509</v>
      </c>
      <c r="O209" s="227">
        <v>1.1817940632644248</v>
      </c>
      <c r="P209" s="239">
        <v>1</v>
      </c>
      <c r="Q209" s="239"/>
      <c r="R209" s="306"/>
      <c r="S209" s="306"/>
    </row>
    <row r="210" spans="1:19" ht="28.5" customHeight="1" x14ac:dyDescent="0.35">
      <c r="A210" s="1" t="s">
        <v>414</v>
      </c>
      <c r="B210" s="1" t="s">
        <v>152</v>
      </c>
      <c r="C210" s="222" t="s">
        <v>509</v>
      </c>
      <c r="D210" s="71" t="s">
        <v>919</v>
      </c>
      <c r="E210" s="82" t="s">
        <v>510</v>
      </c>
      <c r="F210" s="623" t="e">
        <f ca="1">_xll.JChemExcel.Functions.JCSYSStructure("3F7802096722DA941DAFC857A7FF2E65")</f>
        <v>#NAME?</v>
      </c>
      <c r="G210" s="282"/>
      <c r="H210" s="16">
        <v>0</v>
      </c>
      <c r="I210" s="17">
        <v>0</v>
      </c>
      <c r="J210" s="18">
        <v>0</v>
      </c>
      <c r="K210" s="19">
        <v>0.15789473684210534</v>
      </c>
      <c r="L210" s="20">
        <v>0.16666666666666657</v>
      </c>
      <c r="M210" s="21">
        <v>0.125</v>
      </c>
      <c r="N210" s="30">
        <v>123.4933988138402</v>
      </c>
      <c r="O210" s="227">
        <v>76.134388890045201</v>
      </c>
      <c r="P210" s="239"/>
      <c r="Q210" s="239"/>
      <c r="R210" s="306"/>
      <c r="S210" s="306"/>
    </row>
    <row r="211" spans="1:19" ht="28.5" customHeight="1" x14ac:dyDescent="0.35">
      <c r="A211" s="1" t="s">
        <v>414</v>
      </c>
      <c r="B211" s="1" t="s">
        <v>155</v>
      </c>
      <c r="C211" s="222" t="s">
        <v>511</v>
      </c>
      <c r="D211" s="71" t="s">
        <v>918</v>
      </c>
      <c r="E211" s="82" t="s">
        <v>512</v>
      </c>
      <c r="F211" s="623" t="e">
        <f ca="1">_xll.JChemExcel.Functions.JCSYSStructure("CAEBC9B46B626F17CB2666324DD5D608")</f>
        <v>#NAME?</v>
      </c>
      <c r="G211" s="282"/>
      <c r="H211" s="16">
        <v>0</v>
      </c>
      <c r="I211" s="17">
        <v>0</v>
      </c>
      <c r="J211" s="18">
        <v>0</v>
      </c>
      <c r="K211" s="19">
        <v>0.10526315789473685</v>
      </c>
      <c r="L211" s="20">
        <v>0.11111111111111115</v>
      </c>
      <c r="M211" s="21">
        <v>6.25E-2</v>
      </c>
      <c r="N211" s="30">
        <v>92.706770894461812</v>
      </c>
      <c r="O211" s="227">
        <v>5.5263637249725832</v>
      </c>
      <c r="P211" s="239"/>
      <c r="Q211" s="239"/>
      <c r="R211" s="306"/>
      <c r="S211" s="306"/>
    </row>
    <row r="212" spans="1:19" ht="28.5" customHeight="1" x14ac:dyDescent="0.35">
      <c r="A212" s="1" t="s">
        <v>414</v>
      </c>
      <c r="B212" s="1" t="s">
        <v>158</v>
      </c>
      <c r="C212" s="222" t="s">
        <v>513</v>
      </c>
      <c r="D212" s="71" t="s">
        <v>918</v>
      </c>
      <c r="E212" s="82" t="s">
        <v>514</v>
      </c>
      <c r="F212" s="623" t="e">
        <f ca="1">_xll.JChemExcel.Functions.JCSYSStructure("766A3E4AD788B0830C87EEDB47F95F15")</f>
        <v>#NAME?</v>
      </c>
      <c r="G212" s="282"/>
      <c r="H212" s="16">
        <v>0</v>
      </c>
      <c r="I212" s="17">
        <v>0</v>
      </c>
      <c r="J212" s="18">
        <v>0</v>
      </c>
      <c r="K212" s="19">
        <v>0.10526315789473685</v>
      </c>
      <c r="L212" s="20">
        <v>0.11111111111111115</v>
      </c>
      <c r="M212" s="21">
        <v>0.125</v>
      </c>
      <c r="N212" s="30">
        <v>89.990213698354466</v>
      </c>
      <c r="O212" s="227">
        <v>26.947005668133141</v>
      </c>
      <c r="P212" s="239"/>
      <c r="Q212" s="239"/>
      <c r="R212" s="306"/>
      <c r="S212" s="306"/>
    </row>
    <row r="213" spans="1:19" ht="28.5" customHeight="1" x14ac:dyDescent="0.35">
      <c r="A213" s="1" t="s">
        <v>414</v>
      </c>
      <c r="B213" s="1" t="s">
        <v>161</v>
      </c>
      <c r="C213" s="222" t="s">
        <v>515</v>
      </c>
      <c r="D213" s="71" t="s">
        <v>938</v>
      </c>
      <c r="E213" s="82" t="s">
        <v>516</v>
      </c>
      <c r="F213" s="623" t="e">
        <f ca="1">_xll.JChemExcel.Functions.JCSYSStructure("B2183238C29F18E42B870FCFD3A138B8")</f>
        <v>#NAME?</v>
      </c>
      <c r="G213" s="282"/>
      <c r="H213" s="16">
        <v>0</v>
      </c>
      <c r="I213" s="17">
        <v>0</v>
      </c>
      <c r="J213" s="18">
        <v>0</v>
      </c>
      <c r="K213" s="19">
        <v>0.10526315789473685</v>
      </c>
      <c r="L213" s="20">
        <v>0.11111111111111115</v>
      </c>
      <c r="M213" s="21">
        <v>6.25E-2</v>
      </c>
      <c r="N213" s="30">
        <v>104.06144431502537</v>
      </c>
      <c r="O213" s="227">
        <v>15.485262641392325</v>
      </c>
      <c r="P213" s="239"/>
      <c r="Q213" s="239"/>
      <c r="R213" s="306"/>
      <c r="S213" s="306"/>
    </row>
    <row r="214" spans="1:19" ht="28.5" customHeight="1" x14ac:dyDescent="0.35">
      <c r="A214" s="1" t="s">
        <v>414</v>
      </c>
      <c r="B214" s="1" t="s">
        <v>164</v>
      </c>
      <c r="C214" s="222" t="s">
        <v>517</v>
      </c>
      <c r="D214" s="71" t="s">
        <v>919</v>
      </c>
      <c r="E214" s="82" t="s">
        <v>518</v>
      </c>
      <c r="F214" s="623" t="e">
        <f ca="1">_xll.JChemExcel.Functions.JCSYSStructure("958F1AF98B83F351768C5C2CABA6EBFA")</f>
        <v>#NAME?</v>
      </c>
      <c r="G214" s="282"/>
      <c r="H214" s="16">
        <v>0</v>
      </c>
      <c r="I214" s="17">
        <v>0</v>
      </c>
      <c r="J214" s="18">
        <v>0</v>
      </c>
      <c r="K214" s="19">
        <v>5.2631578947368494E-2</v>
      </c>
      <c r="L214" s="20">
        <v>0.11111111111111115</v>
      </c>
      <c r="M214" s="21">
        <v>0.125</v>
      </c>
      <c r="N214" s="30">
        <v>61.68414685134281</v>
      </c>
      <c r="O214" s="227">
        <v>10.222927426404196</v>
      </c>
      <c r="P214" s="239"/>
      <c r="Q214" s="239"/>
      <c r="R214" s="306"/>
      <c r="S214" s="306"/>
    </row>
    <row r="215" spans="1:19" ht="28.5" customHeight="1" x14ac:dyDescent="0.35">
      <c r="A215" s="1" t="s">
        <v>414</v>
      </c>
      <c r="B215" s="1" t="s">
        <v>167</v>
      </c>
      <c r="C215" s="222" t="s">
        <v>519</v>
      </c>
      <c r="D215" s="71" t="s">
        <v>916</v>
      </c>
      <c r="E215" s="82" t="s">
        <v>520</v>
      </c>
      <c r="F215" s="623" t="e">
        <f ca="1">_xll.JChemExcel.Functions.JCSYSStructure("0A9D6800D962BE4BDEA2E152BAE70CBC")</f>
        <v>#NAME?</v>
      </c>
      <c r="G215" s="282"/>
      <c r="H215" s="16">
        <v>3</v>
      </c>
      <c r="I215" s="17">
        <v>3</v>
      </c>
      <c r="J215" s="18">
        <v>4</v>
      </c>
      <c r="K215" s="32">
        <v>0.13636363636363641</v>
      </c>
      <c r="L215" s="33">
        <v>0.44999999999999996</v>
      </c>
      <c r="M215" s="34">
        <v>0.55555555555555558</v>
      </c>
      <c r="N215" s="42">
        <v>14.81154027932137</v>
      </c>
      <c r="O215" s="227">
        <v>8.367423040680805</v>
      </c>
      <c r="P215" s="239">
        <v>1</v>
      </c>
      <c r="Q215" s="239"/>
      <c r="R215" s="306"/>
      <c r="S215" s="306"/>
    </row>
    <row r="216" spans="1:19" ht="28.5" customHeight="1" x14ac:dyDescent="0.35">
      <c r="A216" s="1" t="s">
        <v>414</v>
      </c>
      <c r="B216" s="1" t="s">
        <v>170</v>
      </c>
      <c r="C216" s="222" t="s">
        <v>521</v>
      </c>
      <c r="D216" s="71" t="s">
        <v>916</v>
      </c>
      <c r="E216" s="82" t="s">
        <v>522</v>
      </c>
      <c r="F216" s="623" t="e">
        <f ca="1">_xll.JChemExcel.Functions.JCSYSStructure("2EFF199E5FBAD18E595791239C6107EC")</f>
        <v>#NAME?</v>
      </c>
      <c r="G216" s="282"/>
      <c r="H216" s="16">
        <v>0</v>
      </c>
      <c r="I216" s="17">
        <v>0</v>
      </c>
      <c r="J216" s="18">
        <v>0</v>
      </c>
      <c r="K216" s="19">
        <v>0.15789473684210534</v>
      </c>
      <c r="L216" s="20">
        <v>0.11111111111111115</v>
      </c>
      <c r="M216" s="21">
        <v>0</v>
      </c>
      <c r="N216" s="30">
        <v>89.53698865234756</v>
      </c>
      <c r="O216" s="227">
        <v>0.65056148694494831</v>
      </c>
      <c r="P216" s="239"/>
      <c r="Q216" s="239"/>
      <c r="R216" s="306"/>
      <c r="S216" s="306"/>
    </row>
    <row r="217" spans="1:19" ht="28.5" customHeight="1" x14ac:dyDescent="0.35">
      <c r="A217" s="1" t="s">
        <v>414</v>
      </c>
      <c r="B217" s="1" t="s">
        <v>173</v>
      </c>
      <c r="C217" s="222" t="s">
        <v>523</v>
      </c>
      <c r="D217" s="71" t="s">
        <v>916</v>
      </c>
      <c r="E217" s="82" t="s">
        <v>524</v>
      </c>
      <c r="F217" s="623" t="e">
        <f ca="1">_xll.JChemExcel.Functions.JCSYSStructure("6BDA424777221D85B69DAADEB374B92A")</f>
        <v>#NAME?</v>
      </c>
      <c r="G217" s="282" t="s">
        <v>962</v>
      </c>
      <c r="H217" s="16">
        <v>0</v>
      </c>
      <c r="I217" s="17">
        <v>0</v>
      </c>
      <c r="J217" s="18">
        <v>0</v>
      </c>
      <c r="K217" s="19">
        <v>0.15789473684210534</v>
      </c>
      <c r="L217" s="20">
        <v>0.11111111111111115</v>
      </c>
      <c r="M217" s="21">
        <v>6.25E-2</v>
      </c>
      <c r="N217" s="30">
        <v>110.47663239500196</v>
      </c>
      <c r="O217" s="227">
        <v>20.507377635030565</v>
      </c>
      <c r="P217" s="239"/>
      <c r="Q217" s="239"/>
      <c r="R217" s="306"/>
      <c r="S217" s="306"/>
    </row>
    <row r="218" spans="1:19" ht="28.5" customHeight="1" x14ac:dyDescent="0.35">
      <c r="A218" s="1" t="s">
        <v>414</v>
      </c>
      <c r="B218" s="1" t="s">
        <v>176</v>
      </c>
      <c r="C218" s="222" t="s">
        <v>525</v>
      </c>
      <c r="D218" s="71" t="s">
        <v>916</v>
      </c>
      <c r="E218" s="82" t="s">
        <v>526</v>
      </c>
      <c r="F218" s="623" t="e">
        <f ca="1">_xll.JChemExcel.Functions.JCSYSStructure("6288F7D0913D8E183C0386E259536B1D")</f>
        <v>#NAME?</v>
      </c>
      <c r="G218" s="282"/>
      <c r="H218" s="16">
        <v>0</v>
      </c>
      <c r="I218" s="17">
        <v>0</v>
      </c>
      <c r="J218" s="18">
        <v>0</v>
      </c>
      <c r="K218" s="19">
        <v>5.2631578947368494E-2</v>
      </c>
      <c r="L218" s="20">
        <v>5.5555555555555573E-2</v>
      </c>
      <c r="M218" s="21">
        <v>0</v>
      </c>
      <c r="N218" s="30">
        <v>74.7404755256849</v>
      </c>
      <c r="O218" s="227">
        <v>9.7167577990547507</v>
      </c>
      <c r="P218" s="239"/>
      <c r="Q218" s="239"/>
      <c r="R218" s="306"/>
      <c r="S218" s="306"/>
    </row>
    <row r="219" spans="1:19" ht="28.5" customHeight="1" x14ac:dyDescent="0.35">
      <c r="A219" s="4" t="s">
        <v>414</v>
      </c>
      <c r="B219" s="4" t="s">
        <v>179</v>
      </c>
      <c r="C219" s="223" t="s">
        <v>527</v>
      </c>
      <c r="D219" s="71" t="s">
        <v>916</v>
      </c>
      <c r="E219" s="82" t="s">
        <v>528</v>
      </c>
      <c r="F219" s="623" t="e">
        <f ca="1">_xll.JChemExcel.Functions.JCSYSStructure("29B017F4AA0172EEB7394BB6B718EC37")</f>
        <v>#NAME?</v>
      </c>
      <c r="G219" s="282"/>
      <c r="H219" s="24">
        <v>4</v>
      </c>
      <c r="I219" s="25">
        <v>4</v>
      </c>
      <c r="J219" s="26">
        <v>4</v>
      </c>
      <c r="K219" s="27">
        <v>1</v>
      </c>
      <c r="L219" s="28">
        <v>1</v>
      </c>
      <c r="M219" s="29">
        <v>1</v>
      </c>
      <c r="N219" s="30">
        <v>35.43175487465183</v>
      </c>
      <c r="O219" s="227">
        <v>3.7817410024462412</v>
      </c>
      <c r="P219" s="239">
        <v>1</v>
      </c>
      <c r="Q219" s="239"/>
      <c r="R219" s="306"/>
      <c r="S219" s="306"/>
    </row>
    <row r="220" spans="1:19" ht="28.5" customHeight="1" x14ac:dyDescent="0.35">
      <c r="A220" s="1" t="s">
        <v>414</v>
      </c>
      <c r="B220" s="1" t="s">
        <v>182</v>
      </c>
      <c r="C220" s="222" t="s">
        <v>529</v>
      </c>
      <c r="D220" s="71" t="s">
        <v>916</v>
      </c>
      <c r="E220" s="82" t="s">
        <v>530</v>
      </c>
      <c r="F220" s="623" t="e">
        <f ca="1">_xll.JChemExcel.Functions.JCSYSStructure("3CE3CE06A08123C7A0FEAA1D79F9417F")</f>
        <v>#NAME?</v>
      </c>
      <c r="G220" s="282"/>
      <c r="H220" s="16">
        <v>1</v>
      </c>
      <c r="I220" s="17">
        <v>1</v>
      </c>
      <c r="J220" s="18">
        <v>0</v>
      </c>
      <c r="K220" s="19">
        <v>5.2631578947368494E-2</v>
      </c>
      <c r="L220" s="20">
        <v>0.11111111111111115</v>
      </c>
      <c r="M220" s="21">
        <v>0</v>
      </c>
      <c r="N220" s="30">
        <v>103.43378568793321</v>
      </c>
      <c r="O220" s="227">
        <v>25.723773674902851</v>
      </c>
      <c r="P220" s="239"/>
      <c r="Q220" s="239"/>
      <c r="R220" s="306"/>
      <c r="S220" s="306"/>
    </row>
    <row r="221" spans="1:19" ht="28.5" customHeight="1" x14ac:dyDescent="0.35">
      <c r="A221" s="1" t="s">
        <v>414</v>
      </c>
      <c r="B221" s="1" t="s">
        <v>185</v>
      </c>
      <c r="C221" s="222" t="s">
        <v>531</v>
      </c>
      <c r="D221" s="71" t="s">
        <v>918</v>
      </c>
      <c r="E221" s="82" t="s">
        <v>532</v>
      </c>
      <c r="F221" s="623" t="e">
        <f ca="1">_xll.JChemExcel.Functions.JCSYSStructure("73864E92901126CDF6EAFE77EA264576")</f>
        <v>#NAME?</v>
      </c>
      <c r="G221" s="282"/>
      <c r="H221" s="16">
        <v>2</v>
      </c>
      <c r="I221" s="17">
        <v>1</v>
      </c>
      <c r="J221" s="18">
        <v>4</v>
      </c>
      <c r="K221" s="19">
        <v>5.2631578947368494E-2</v>
      </c>
      <c r="L221" s="20">
        <v>0.27777777777777785</v>
      </c>
      <c r="M221" s="21">
        <v>0.25</v>
      </c>
      <c r="N221" s="30">
        <v>55.555058157759078</v>
      </c>
      <c r="O221" s="227">
        <v>7.8786226420854737</v>
      </c>
      <c r="P221" s="239"/>
      <c r="Q221" s="239"/>
      <c r="R221" s="306"/>
      <c r="S221" s="306"/>
    </row>
    <row r="222" spans="1:19" ht="28.5" customHeight="1" x14ac:dyDescent="0.35">
      <c r="A222" s="1" t="s">
        <v>414</v>
      </c>
      <c r="B222" s="1" t="s">
        <v>188</v>
      </c>
      <c r="C222" s="222" t="s">
        <v>533</v>
      </c>
      <c r="D222" s="71" t="s">
        <v>923</v>
      </c>
      <c r="E222" s="82" t="s">
        <v>534</v>
      </c>
      <c r="F222" s="623" t="e">
        <f ca="1">_xll.JChemExcel.Functions.JCSYSStructure("8538C7B0633AFCFFB10B5D911153A8F6")</f>
        <v>#NAME?</v>
      </c>
      <c r="G222" s="282"/>
      <c r="H222" s="16">
        <v>0</v>
      </c>
      <c r="I222" s="17">
        <v>0</v>
      </c>
      <c r="J222" s="18">
        <v>0</v>
      </c>
      <c r="K222" s="19">
        <v>0.15789473684210534</v>
      </c>
      <c r="L222" s="20">
        <v>0.11111111111111115</v>
      </c>
      <c r="M222" s="21">
        <v>0</v>
      </c>
      <c r="N222" s="30">
        <v>93.871866295264653</v>
      </c>
      <c r="O222" s="227">
        <v>9.8482838605370908</v>
      </c>
      <c r="P222" s="239"/>
      <c r="Q222" s="239"/>
      <c r="R222" s="306"/>
      <c r="S222" s="306"/>
    </row>
    <row r="223" spans="1:19" ht="28.5" customHeight="1" x14ac:dyDescent="0.35">
      <c r="A223" s="1" t="s">
        <v>414</v>
      </c>
      <c r="B223" s="1" t="s">
        <v>191</v>
      </c>
      <c r="C223" s="222" t="s">
        <v>535</v>
      </c>
      <c r="D223" s="71" t="s">
        <v>938</v>
      </c>
      <c r="E223" s="82" t="s">
        <v>536</v>
      </c>
      <c r="F223" s="623" t="e">
        <f ca="1">_xll.JChemExcel.Functions.JCSYSStructure("2A22C48AC3DB9C807354BACD0B0BD5E6")</f>
        <v>#NAME?</v>
      </c>
      <c r="G223" s="282"/>
      <c r="H223" s="16">
        <v>0</v>
      </c>
      <c r="I223" s="17">
        <v>0</v>
      </c>
      <c r="J223" s="18">
        <v>0</v>
      </c>
      <c r="K223" s="19">
        <v>0</v>
      </c>
      <c r="L223" s="20">
        <v>0</v>
      </c>
      <c r="M223" s="21">
        <v>5.5555555555555573E-2</v>
      </c>
      <c r="N223" s="30">
        <v>107.72424342686421</v>
      </c>
      <c r="O223" s="227">
        <v>2.8838060157562122</v>
      </c>
      <c r="P223" s="239"/>
      <c r="Q223" s="239"/>
      <c r="R223" s="306"/>
      <c r="S223" s="306"/>
    </row>
    <row r="224" spans="1:19" ht="28.5" customHeight="1" x14ac:dyDescent="0.35">
      <c r="A224" s="1" t="s">
        <v>414</v>
      </c>
      <c r="B224" s="1" t="s">
        <v>194</v>
      </c>
      <c r="C224" s="222" t="s">
        <v>537</v>
      </c>
      <c r="D224" s="71" t="s">
        <v>938</v>
      </c>
      <c r="E224" s="82" t="s">
        <v>538</v>
      </c>
      <c r="F224" s="623" t="e">
        <f ca="1">_xll.JChemExcel.Functions.JCSYSStructure("F6BE6B6A3908AAE1A52BC01E439C185B")</f>
        <v>#NAME?</v>
      </c>
      <c r="G224" s="282"/>
      <c r="H224" s="16">
        <v>0</v>
      </c>
      <c r="I224" s="17">
        <v>0</v>
      </c>
      <c r="J224" s="18">
        <v>0</v>
      </c>
      <c r="K224" s="19">
        <v>0.05</v>
      </c>
      <c r="L224" s="20">
        <v>5.5555555555555573E-2</v>
      </c>
      <c r="M224" s="21">
        <v>5.5555555555555573E-2</v>
      </c>
      <c r="N224" s="30">
        <v>95.244494452053672</v>
      </c>
      <c r="O224" s="227">
        <v>24.260023856714767</v>
      </c>
      <c r="P224" s="239"/>
      <c r="Q224" s="239"/>
      <c r="R224" s="306"/>
      <c r="S224" s="306"/>
    </row>
    <row r="225" spans="1:20" ht="28.5" customHeight="1" x14ac:dyDescent="0.35">
      <c r="A225" s="4" t="s">
        <v>414</v>
      </c>
      <c r="B225" s="4" t="s">
        <v>197</v>
      </c>
      <c r="C225" s="223" t="s">
        <v>539</v>
      </c>
      <c r="D225" s="71" t="s">
        <v>916</v>
      </c>
      <c r="E225" s="82" t="s">
        <v>540</v>
      </c>
      <c r="F225" s="623" t="e">
        <f ca="1">_xll.JChemExcel.Functions.JCSYSStructure("367654BEFB2805969FB5711C9DC9861A")</f>
        <v>#NAME?</v>
      </c>
      <c r="G225" s="282"/>
      <c r="H225" s="24">
        <v>4</v>
      </c>
      <c r="I225" s="25">
        <v>4</v>
      </c>
      <c r="J225" s="26">
        <v>4</v>
      </c>
      <c r="K225" s="27">
        <v>1</v>
      </c>
      <c r="L225" s="28">
        <v>1</v>
      </c>
      <c r="M225" s="29">
        <v>1</v>
      </c>
      <c r="N225" s="30">
        <v>8.4996196341658266</v>
      </c>
      <c r="O225" s="227">
        <v>5.0727887716028666E-2</v>
      </c>
      <c r="P225" s="239">
        <v>1</v>
      </c>
      <c r="Q225" s="239"/>
      <c r="R225" s="306"/>
      <c r="S225" s="306"/>
    </row>
    <row r="226" spans="1:20" ht="28.5" customHeight="1" x14ac:dyDescent="0.35">
      <c r="A226" s="1" t="s">
        <v>414</v>
      </c>
      <c r="B226" s="1" t="s">
        <v>200</v>
      </c>
      <c r="C226" s="222" t="s">
        <v>541</v>
      </c>
      <c r="D226" s="71" t="s">
        <v>920</v>
      </c>
      <c r="E226" s="82" t="s">
        <v>542</v>
      </c>
      <c r="F226" s="623" t="e">
        <f ca="1">_xll.JChemExcel.Functions.JCSYSStructure("A89733268445CD464F8522CD0C26873E")</f>
        <v>#NAME?</v>
      </c>
      <c r="G226" s="282"/>
      <c r="H226" s="16">
        <v>4</v>
      </c>
      <c r="I226" s="17">
        <v>4</v>
      </c>
      <c r="J226" s="18">
        <v>4</v>
      </c>
      <c r="K226" s="19">
        <v>0.55000000000000004</v>
      </c>
      <c r="L226" s="20">
        <v>0.66666666666666674</v>
      </c>
      <c r="M226" s="21">
        <v>1</v>
      </c>
      <c r="N226" s="319">
        <v>54.260499087035896</v>
      </c>
      <c r="O226" s="227">
        <v>25.045535052420639</v>
      </c>
      <c r="P226" s="239"/>
      <c r="Q226" s="239"/>
      <c r="R226" s="306"/>
      <c r="S226" s="306"/>
    </row>
    <row r="227" spans="1:20" ht="28.5" customHeight="1" x14ac:dyDescent="0.35">
      <c r="A227" s="4" t="s">
        <v>414</v>
      </c>
      <c r="B227" s="4" t="s">
        <v>203</v>
      </c>
      <c r="C227" s="223" t="s">
        <v>543</v>
      </c>
      <c r="D227" s="71" t="s">
        <v>916</v>
      </c>
      <c r="E227" s="82" t="s">
        <v>544</v>
      </c>
      <c r="F227" s="623" t="e">
        <f ca="1">_xll.JChemExcel.Functions.JCSYSStructure("65F4B3CCA9027A747D0B37EC57E5DD29")</f>
        <v>#NAME?</v>
      </c>
      <c r="G227" s="282"/>
      <c r="H227" s="24">
        <v>4</v>
      </c>
      <c r="I227" s="25">
        <v>4</v>
      </c>
      <c r="J227" s="26">
        <v>4</v>
      </c>
      <c r="K227" s="27">
        <v>1</v>
      </c>
      <c r="L227" s="28">
        <v>1</v>
      </c>
      <c r="M227" s="29">
        <v>1</v>
      </c>
      <c r="N227" s="30">
        <v>13.493780470995519</v>
      </c>
      <c r="O227" s="227">
        <v>10.231016833565342</v>
      </c>
      <c r="P227" s="239">
        <v>1</v>
      </c>
      <c r="Q227" s="239"/>
      <c r="R227" s="306"/>
      <c r="S227" s="306"/>
    </row>
    <row r="228" spans="1:20" ht="28.5" customHeight="1" x14ac:dyDescent="0.35">
      <c r="A228" s="1" t="s">
        <v>414</v>
      </c>
      <c r="B228" s="1" t="s">
        <v>206</v>
      </c>
      <c r="C228" s="222" t="s">
        <v>545</v>
      </c>
      <c r="D228" s="71" t="s">
        <v>916</v>
      </c>
      <c r="E228" s="82" t="s">
        <v>546</v>
      </c>
      <c r="F228" s="623" t="e">
        <f ca="1">_xll.JChemExcel.Functions.JCSYSStructure("2EF5FEDCAA1001EB5AB2451229A83748")</f>
        <v>#NAME?</v>
      </c>
      <c r="G228" s="282"/>
      <c r="H228" s="16">
        <v>1</v>
      </c>
      <c r="I228" s="17">
        <v>1</v>
      </c>
      <c r="J228" s="18">
        <v>0</v>
      </c>
      <c r="K228" s="19">
        <v>0.1</v>
      </c>
      <c r="L228" s="20">
        <v>0.11111111111111115</v>
      </c>
      <c r="M228" s="21">
        <v>5.5555555555555573E-2</v>
      </c>
      <c r="N228" s="30">
        <v>99.458926850862639</v>
      </c>
      <c r="O228" s="227">
        <v>0.67485676329955369</v>
      </c>
      <c r="P228" s="239"/>
      <c r="Q228" s="239"/>
      <c r="R228" s="306"/>
      <c r="S228" s="306"/>
    </row>
    <row r="229" spans="1:20" ht="28.5" customHeight="1" x14ac:dyDescent="0.35">
      <c r="A229" s="1" t="s">
        <v>414</v>
      </c>
      <c r="B229" s="1" t="s">
        <v>209</v>
      </c>
      <c r="C229" s="222" t="s">
        <v>547</v>
      </c>
      <c r="D229" s="71" t="s">
        <v>918</v>
      </c>
      <c r="E229" s="82" t="s">
        <v>548</v>
      </c>
      <c r="F229" s="623" t="e">
        <f ca="1">_xll.JChemExcel.Functions.JCSYSStructure("2E77CE176D6D2F7F373D1D5E2E6D712C")</f>
        <v>#NAME?</v>
      </c>
      <c r="G229" s="282"/>
      <c r="H229" s="16">
        <v>0</v>
      </c>
      <c r="I229" s="17">
        <v>1</v>
      </c>
      <c r="J229" s="18">
        <v>0</v>
      </c>
      <c r="K229" s="19">
        <v>0.05</v>
      </c>
      <c r="L229" s="20">
        <v>0.22222222222222215</v>
      </c>
      <c r="M229" s="21">
        <v>0.38888888888888884</v>
      </c>
      <c r="N229" s="30">
        <v>84.40111420612817</v>
      </c>
      <c r="O229" s="227">
        <v>18.357201116040748</v>
      </c>
      <c r="P229" s="239"/>
      <c r="Q229" s="239"/>
      <c r="R229" s="306"/>
      <c r="S229" s="306"/>
    </row>
    <row r="230" spans="1:20" ht="28.5" customHeight="1" x14ac:dyDescent="0.35">
      <c r="A230" s="1" t="s">
        <v>414</v>
      </c>
      <c r="B230" s="1" t="s">
        <v>212</v>
      </c>
      <c r="C230" s="222" t="s">
        <v>549</v>
      </c>
      <c r="D230" s="71" t="s">
        <v>916</v>
      </c>
      <c r="E230" s="82" t="s">
        <v>550</v>
      </c>
      <c r="F230" s="623" t="e">
        <f ca="1">_xll.JChemExcel.Functions.JCSYSStructure("BE73317C31EECC73546F817618CA70E4")</f>
        <v>#NAME?</v>
      </c>
      <c r="G230" s="282"/>
      <c r="H230" s="16">
        <v>0</v>
      </c>
      <c r="I230" s="17">
        <v>0</v>
      </c>
      <c r="J230" s="18">
        <v>0</v>
      </c>
      <c r="K230" s="19">
        <v>0.1</v>
      </c>
      <c r="L230" s="20">
        <v>5.5555555555555573E-2</v>
      </c>
      <c r="M230" s="21">
        <v>5.5555555555555573E-2</v>
      </c>
      <c r="N230" s="30">
        <v>90.58919542941166</v>
      </c>
      <c r="O230" s="227">
        <v>27.794093755808042</v>
      </c>
      <c r="P230" s="239"/>
      <c r="Q230" s="239"/>
      <c r="R230" s="306"/>
      <c r="S230" s="306"/>
    </row>
    <row r="231" spans="1:20" ht="28.5" customHeight="1" x14ac:dyDescent="0.35">
      <c r="A231" s="1" t="s">
        <v>414</v>
      </c>
      <c r="B231" s="1" t="s">
        <v>215</v>
      </c>
      <c r="C231" s="222" t="s">
        <v>551</v>
      </c>
      <c r="D231" s="71" t="s">
        <v>918</v>
      </c>
      <c r="E231" s="82" t="s">
        <v>552</v>
      </c>
      <c r="F231" s="623" t="e">
        <f ca="1">_xll.JChemExcel.Functions.JCSYSStructure("4C7A0E5960135E513B13DA1BA4EA580B")</f>
        <v>#NAME?</v>
      </c>
      <c r="G231" s="282"/>
      <c r="H231" s="16">
        <v>0</v>
      </c>
      <c r="I231" s="17">
        <v>0</v>
      </c>
      <c r="J231" s="18">
        <v>0</v>
      </c>
      <c r="K231" s="19">
        <v>0</v>
      </c>
      <c r="L231" s="20">
        <v>0</v>
      </c>
      <c r="M231" s="21">
        <v>5.5555555555555573E-2</v>
      </c>
      <c r="N231" s="30">
        <v>94.392298981224087</v>
      </c>
      <c r="O231" s="227">
        <v>1.9161614119951373</v>
      </c>
      <c r="P231" s="239"/>
      <c r="Q231" s="239"/>
      <c r="R231" s="306"/>
      <c r="S231" s="306"/>
    </row>
    <row r="232" spans="1:20" ht="28.5" customHeight="1" x14ac:dyDescent="0.35">
      <c r="A232" s="1" t="s">
        <v>414</v>
      </c>
      <c r="B232" s="1" t="s">
        <v>218</v>
      </c>
      <c r="C232" s="222" t="s">
        <v>553</v>
      </c>
      <c r="D232" s="71" t="s">
        <v>920</v>
      </c>
      <c r="E232" s="82" t="s">
        <v>554</v>
      </c>
      <c r="F232" s="623" t="e">
        <f ca="1">_xll.JChemExcel.Functions.JCSYSStructure("C5FC8E4725BACCE10409225F0BEEED18")</f>
        <v>#NAME?</v>
      </c>
      <c r="G232" s="282"/>
      <c r="H232" s="16">
        <v>0</v>
      </c>
      <c r="I232" s="17">
        <v>0</v>
      </c>
      <c r="J232" s="18">
        <v>0</v>
      </c>
      <c r="K232" s="19">
        <v>0</v>
      </c>
      <c r="L232" s="20">
        <v>5.5555555555555573E-2</v>
      </c>
      <c r="M232" s="21">
        <v>0.11111111111111115</v>
      </c>
      <c r="N232" s="30">
        <v>94.55607677105418</v>
      </c>
      <c r="O232" s="227">
        <v>2.8704679631465186</v>
      </c>
      <c r="P232" s="239"/>
      <c r="Q232" s="239"/>
      <c r="R232" s="306"/>
      <c r="S232" s="306"/>
    </row>
    <row r="233" spans="1:20" ht="28.5" customHeight="1" x14ac:dyDescent="0.35">
      <c r="A233" s="1" t="s">
        <v>414</v>
      </c>
      <c r="B233" s="1" t="s">
        <v>221</v>
      </c>
      <c r="C233" s="222" t="s">
        <v>555</v>
      </c>
      <c r="D233" s="71" t="s">
        <v>925</v>
      </c>
      <c r="E233" s="82" t="s">
        <v>556</v>
      </c>
      <c r="F233" s="623" t="e">
        <f ca="1">_xll.JChemExcel.Functions.JCSYSStructure("D902CDFEAE70BDE4D97FFF7C2125FC8D")</f>
        <v>#NAME?</v>
      </c>
      <c r="G233" s="282"/>
      <c r="H233" s="16">
        <v>0</v>
      </c>
      <c r="I233" s="17">
        <v>0</v>
      </c>
      <c r="J233" s="18">
        <v>0</v>
      </c>
      <c r="K233" s="19">
        <v>0</v>
      </c>
      <c r="L233" s="20">
        <v>0</v>
      </c>
      <c r="M233" s="21">
        <v>0.11111111111111115</v>
      </c>
      <c r="N233" s="30">
        <v>117.35694480673175</v>
      </c>
      <c r="O233" s="227">
        <v>21.073365587574653</v>
      </c>
      <c r="P233" s="239"/>
      <c r="Q233" s="239"/>
      <c r="R233" s="306"/>
      <c r="S233" s="306"/>
    </row>
    <row r="234" spans="1:20" ht="28.5" customHeight="1" x14ac:dyDescent="0.35">
      <c r="A234" s="1" t="s">
        <v>414</v>
      </c>
      <c r="B234" s="1" t="s">
        <v>224</v>
      </c>
      <c r="C234" s="222" t="s">
        <v>557</v>
      </c>
      <c r="D234" s="73" t="s">
        <v>915</v>
      </c>
      <c r="E234" s="82" t="s">
        <v>558</v>
      </c>
      <c r="F234" s="623" t="e">
        <f ca="1">_xll.JChemExcel.Functions.JCSYSStructure("B11FEA0194EC28E1DDAAA312C83559FD")</f>
        <v>#NAME?</v>
      </c>
      <c r="G234" s="282"/>
      <c r="H234" s="16">
        <v>0</v>
      </c>
      <c r="I234" s="17">
        <v>2</v>
      </c>
      <c r="J234" s="18">
        <v>0</v>
      </c>
      <c r="K234" s="19">
        <v>0.1</v>
      </c>
      <c r="L234" s="20">
        <v>0.16666666666666657</v>
      </c>
      <c r="M234" s="21">
        <v>0.27777777777777785</v>
      </c>
      <c r="N234" s="30">
        <v>14.651810584958248</v>
      </c>
      <c r="O234" s="227">
        <v>1.6545116885701714</v>
      </c>
      <c r="P234" s="239"/>
      <c r="Q234" s="239">
        <v>1</v>
      </c>
      <c r="R234" s="306"/>
      <c r="S234" s="306"/>
    </row>
    <row r="235" spans="1:20" ht="28.5" customHeight="1" x14ac:dyDescent="0.35">
      <c r="A235" s="1" t="s">
        <v>414</v>
      </c>
      <c r="B235" s="1" t="s">
        <v>227</v>
      </c>
      <c r="C235" s="222" t="s">
        <v>559</v>
      </c>
      <c r="D235" s="71" t="s">
        <v>916</v>
      </c>
      <c r="E235" s="82" t="s">
        <v>560</v>
      </c>
      <c r="F235" s="623" t="e">
        <f ca="1">_xll.JChemExcel.Functions.JCSYSStructure("FB96EFBE21EC53CEA38F523AA8FAA5BD")</f>
        <v>#NAME?</v>
      </c>
      <c r="G235" s="282"/>
      <c r="H235" s="16">
        <v>0</v>
      </c>
      <c r="I235" s="17">
        <v>0</v>
      </c>
      <c r="J235" s="18">
        <v>1</v>
      </c>
      <c r="K235" s="19">
        <v>0.05</v>
      </c>
      <c r="L235" s="20">
        <v>0.11111111111111115</v>
      </c>
      <c r="M235" s="21">
        <v>0.33333333333333343</v>
      </c>
      <c r="N235" s="30">
        <v>96.448732778677424</v>
      </c>
      <c r="O235" s="227">
        <v>3.9210357540274083</v>
      </c>
      <c r="P235" s="239"/>
      <c r="Q235" s="239"/>
      <c r="R235" s="306"/>
      <c r="S235" s="306"/>
    </row>
    <row r="236" spans="1:20" ht="28.5" customHeight="1" x14ac:dyDescent="0.35">
      <c r="A236" s="1" t="s">
        <v>414</v>
      </c>
      <c r="B236" s="1" t="s">
        <v>230</v>
      </c>
      <c r="C236" s="222" t="s">
        <v>561</v>
      </c>
      <c r="D236" s="71" t="s">
        <v>916</v>
      </c>
      <c r="E236" s="82" t="s">
        <v>562</v>
      </c>
      <c r="F236" s="623" t="e">
        <f ca="1">_xll.JChemExcel.Functions.JCSYSStructure("208CD7BC0A8B558BBE0793C3EE25A80D")</f>
        <v>#NAME?</v>
      </c>
      <c r="G236" s="282"/>
      <c r="H236" s="16">
        <v>0</v>
      </c>
      <c r="I236" s="17">
        <v>0</v>
      </c>
      <c r="J236" s="18">
        <v>0</v>
      </c>
      <c r="K236" s="19">
        <v>0.05</v>
      </c>
      <c r="L236" s="20">
        <v>5.5555555555555573E-2</v>
      </c>
      <c r="M236" s="21">
        <v>0.11111111111111115</v>
      </c>
      <c r="N236" s="30">
        <v>77.201312862353092</v>
      </c>
      <c r="O236" s="227">
        <v>25.105650981223288</v>
      </c>
      <c r="P236" s="239"/>
      <c r="Q236" s="239"/>
      <c r="R236" s="306"/>
      <c r="S236" s="306"/>
    </row>
    <row r="237" spans="1:20" ht="28.5" customHeight="1" x14ac:dyDescent="0.35">
      <c r="A237" s="1" t="s">
        <v>414</v>
      </c>
      <c r="B237" s="1" t="s">
        <v>233</v>
      </c>
      <c r="C237" s="222" t="s">
        <v>563</v>
      </c>
      <c r="D237" s="73" t="s">
        <v>915</v>
      </c>
      <c r="E237" s="82" t="s">
        <v>564</v>
      </c>
      <c r="F237" s="623" t="e">
        <f ca="1">_xll.JChemExcel.Functions.JCSYSStructure("976EA69C3BA5C781E921AB729E4A08A3")</f>
        <v>#NAME?</v>
      </c>
      <c r="G237" s="282"/>
      <c r="H237" s="16">
        <v>0</v>
      </c>
      <c r="I237" s="17">
        <v>0</v>
      </c>
      <c r="J237" s="18">
        <v>0</v>
      </c>
      <c r="K237" s="19">
        <v>0.1</v>
      </c>
      <c r="L237" s="20">
        <v>5.5555555555555573E-2</v>
      </c>
      <c r="M237" s="21">
        <v>0</v>
      </c>
      <c r="N237" s="319">
        <v>82.31892878880096</v>
      </c>
      <c r="O237" s="227">
        <v>19.909383767196672</v>
      </c>
      <c r="P237" s="239"/>
      <c r="Q237" s="239"/>
      <c r="R237" s="306"/>
      <c r="S237" s="306"/>
    </row>
    <row r="238" spans="1:20" ht="28.5" customHeight="1" x14ac:dyDescent="0.35">
      <c r="A238" s="1" t="s">
        <v>414</v>
      </c>
      <c r="B238" s="1" t="s">
        <v>236</v>
      </c>
      <c r="C238" s="222" t="s">
        <v>565</v>
      </c>
      <c r="D238" s="71" t="s">
        <v>916</v>
      </c>
      <c r="E238" s="82" t="s">
        <v>566</v>
      </c>
      <c r="F238" s="623" t="e">
        <f ca="1">_xll.JChemExcel.Functions.JCSYSStructure("C4E56B7BB94363E0E777C363324B98BE")</f>
        <v>#NAME?</v>
      </c>
      <c r="G238" s="282"/>
      <c r="H238" s="16">
        <v>0</v>
      </c>
      <c r="I238" s="17">
        <v>0</v>
      </c>
      <c r="J238" s="18">
        <v>0</v>
      </c>
      <c r="K238" s="19">
        <v>0</v>
      </c>
      <c r="L238" s="20">
        <v>0</v>
      </c>
      <c r="M238" s="21">
        <v>0.11111111111111115</v>
      </c>
      <c r="N238" s="30">
        <v>75.211281670728567</v>
      </c>
      <c r="O238" s="227">
        <v>5.3237497777163307</v>
      </c>
      <c r="P238" s="239"/>
      <c r="Q238" s="239"/>
      <c r="R238" s="306"/>
      <c r="S238" s="306"/>
      <c r="T238" s="313" t="s">
        <v>2022</v>
      </c>
    </row>
    <row r="239" spans="1:20" ht="28.5" customHeight="1" x14ac:dyDescent="0.5">
      <c r="A239" s="1" t="s">
        <v>414</v>
      </c>
      <c r="B239" s="1" t="s">
        <v>239</v>
      </c>
      <c r="C239" s="222" t="s">
        <v>567</v>
      </c>
      <c r="D239" s="71" t="s">
        <v>918</v>
      </c>
      <c r="E239" s="82" t="s">
        <v>568</v>
      </c>
      <c r="F239" s="623" t="e">
        <f ca="1">_xll.JChemExcel.Functions.JCSYSStructure("F08A675678EDDFAB262F34C9F5D047AF")</f>
        <v>#NAME?</v>
      </c>
      <c r="G239" s="282"/>
      <c r="H239" s="16">
        <v>0</v>
      </c>
      <c r="I239" s="17">
        <v>0</v>
      </c>
      <c r="J239" s="18">
        <v>0</v>
      </c>
      <c r="K239" s="19">
        <v>0</v>
      </c>
      <c r="L239" s="20">
        <v>-5.5555555555555573E-2</v>
      </c>
      <c r="M239" s="21">
        <v>0.11111111111111115</v>
      </c>
      <c r="N239" s="30">
        <v>99.22005571030644</v>
      </c>
      <c r="O239" s="227">
        <v>17.884483490735018</v>
      </c>
      <c r="P239" s="239"/>
      <c r="Q239" s="239"/>
      <c r="R239" s="306"/>
      <c r="S239" s="306"/>
      <c r="T239" s="314" t="s">
        <v>1976</v>
      </c>
    </row>
    <row r="240" spans="1:20" ht="28.5" customHeight="1" x14ac:dyDescent="0.35">
      <c r="A240" s="1" t="s">
        <v>414</v>
      </c>
      <c r="B240" s="1" t="s">
        <v>242</v>
      </c>
      <c r="C240" s="222" t="s">
        <v>569</v>
      </c>
      <c r="D240" s="71" t="s">
        <v>918</v>
      </c>
      <c r="E240" s="82" t="s">
        <v>570</v>
      </c>
      <c r="F240" s="623" t="e">
        <f ca="1">_xll.JChemExcel.Functions.JCSYSStructure("485C781E2D5D29096FCFC95266D0FEFC")</f>
        <v>#NAME?</v>
      </c>
      <c r="G240" s="282"/>
      <c r="H240" s="16">
        <v>0</v>
      </c>
      <c r="I240" s="17">
        <v>0</v>
      </c>
      <c r="J240" s="18">
        <v>0</v>
      </c>
      <c r="K240" s="19">
        <v>0</v>
      </c>
      <c r="L240" s="20">
        <v>0</v>
      </c>
      <c r="M240" s="21">
        <v>0.11111111111111115</v>
      </c>
      <c r="N240" s="30">
        <v>81.924277115999558</v>
      </c>
      <c r="O240" s="227">
        <v>20.056859882364943</v>
      </c>
      <c r="P240" s="239"/>
      <c r="Q240" s="239"/>
      <c r="R240" s="306"/>
      <c r="S240" s="306"/>
      <c r="T240" s="313" t="s">
        <v>1974</v>
      </c>
    </row>
    <row r="241" spans="1:20" ht="28.5" customHeight="1" x14ac:dyDescent="0.35">
      <c r="A241" s="1" t="s">
        <v>414</v>
      </c>
      <c r="B241" s="1" t="s">
        <v>245</v>
      </c>
      <c r="C241" s="222" t="s">
        <v>571</v>
      </c>
      <c r="D241" s="71" t="s">
        <v>919</v>
      </c>
      <c r="E241" s="82" t="s">
        <v>572</v>
      </c>
      <c r="F241" s="623" t="e">
        <f ca="1">_xll.JChemExcel.Functions.JCSYSStructure("235F5E3B82173E26105821445D89AAAE")</f>
        <v>#NAME?</v>
      </c>
      <c r="G241" s="282"/>
      <c r="H241" s="16">
        <v>0</v>
      </c>
      <c r="I241" s="17">
        <v>0</v>
      </c>
      <c r="J241" s="18">
        <v>0</v>
      </c>
      <c r="K241" s="19">
        <v>0</v>
      </c>
      <c r="L241" s="20">
        <v>0</v>
      </c>
      <c r="M241" s="21">
        <v>0.16666666666666657</v>
      </c>
      <c r="N241" s="30">
        <v>42.198817742829831</v>
      </c>
      <c r="O241" s="227">
        <v>2.5404796716944569</v>
      </c>
      <c r="P241" s="239"/>
      <c r="Q241" s="239">
        <v>1</v>
      </c>
      <c r="R241" s="306"/>
      <c r="S241" s="306"/>
      <c r="T241" s="313" t="s">
        <v>2030</v>
      </c>
    </row>
    <row r="242" spans="1:20" ht="28.5" customHeight="1" x14ac:dyDescent="0.35">
      <c r="A242" s="1" t="s">
        <v>414</v>
      </c>
      <c r="B242" s="1" t="s">
        <v>248</v>
      </c>
      <c r="C242" s="222" t="s">
        <v>573</v>
      </c>
      <c r="D242" s="71" t="s">
        <v>920</v>
      </c>
      <c r="E242" s="82" t="s">
        <v>574</v>
      </c>
      <c r="F242" s="623" t="e">
        <f ca="1">_xll.JChemExcel.Functions.JCSYSStructure("A9C2D605D874EB477905C1421AF2E8C3")</f>
        <v>#NAME?</v>
      </c>
      <c r="G242" s="282"/>
      <c r="H242" s="16">
        <v>0</v>
      </c>
      <c r="I242" s="17">
        <v>0</v>
      </c>
      <c r="J242" s="18">
        <v>0</v>
      </c>
      <c r="K242" s="19">
        <v>0.1</v>
      </c>
      <c r="L242" s="20">
        <v>0</v>
      </c>
      <c r="M242" s="21">
        <v>0.11111111111111115</v>
      </c>
      <c r="N242" s="30">
        <v>99.634010875220184</v>
      </c>
      <c r="O242" s="227">
        <v>8.3768381366409965</v>
      </c>
      <c r="P242" s="239"/>
      <c r="Q242" s="239"/>
      <c r="R242" s="306"/>
      <c r="S242" s="306"/>
    </row>
    <row r="243" spans="1:20" ht="28.5" customHeight="1" x14ac:dyDescent="0.35">
      <c r="A243" s="1" t="s">
        <v>575</v>
      </c>
      <c r="B243" s="1" t="s">
        <v>10</v>
      </c>
      <c r="C243" s="222" t="s">
        <v>576</v>
      </c>
      <c r="D243" s="71" t="s">
        <v>918</v>
      </c>
      <c r="E243" s="82" t="s">
        <v>577</v>
      </c>
      <c r="F243" s="623" t="e">
        <f ca="1">_xll.JChemExcel.Functions.JCSYSStructure("7A770B520D05E32DDD506F8456A3CCB2")</f>
        <v>#NAME?</v>
      </c>
      <c r="G243" s="282"/>
      <c r="H243" s="16">
        <v>0</v>
      </c>
      <c r="I243" s="17">
        <v>0</v>
      </c>
      <c r="J243" s="18">
        <v>0</v>
      </c>
      <c r="K243" s="19">
        <v>0.1</v>
      </c>
      <c r="L243" s="20">
        <v>8.1081081081080975E-2</v>
      </c>
      <c r="M243" s="21">
        <v>0.15151515151515155</v>
      </c>
      <c r="N243" s="30">
        <v>99.455990517969326</v>
      </c>
      <c r="O243" s="227">
        <v>5.7240050026874547</v>
      </c>
      <c r="P243" s="239"/>
      <c r="Q243" s="239"/>
      <c r="R243" s="306"/>
      <c r="S243" s="306"/>
    </row>
    <row r="244" spans="1:20" ht="28.5" customHeight="1" x14ac:dyDescent="0.35">
      <c r="A244" s="1" t="s">
        <v>575</v>
      </c>
      <c r="B244" s="1" t="s">
        <v>13</v>
      </c>
      <c r="C244" s="222" t="s">
        <v>578</v>
      </c>
      <c r="D244" s="71" t="s">
        <v>918</v>
      </c>
      <c r="E244" s="82" t="s">
        <v>579</v>
      </c>
      <c r="F244" s="623" t="e">
        <f ca="1">_xll.JChemExcel.Functions.JCSYSStructure("B147BB125974EFF92AAEDD65488E0011")</f>
        <v>#NAME?</v>
      </c>
      <c r="G244" s="282"/>
      <c r="H244" s="16">
        <v>1</v>
      </c>
      <c r="I244" s="17">
        <v>0</v>
      </c>
      <c r="J244" s="18">
        <v>0</v>
      </c>
      <c r="K244" s="19">
        <v>0</v>
      </c>
      <c r="L244" s="20">
        <v>2.7027027027026945E-2</v>
      </c>
      <c r="M244" s="21">
        <v>3.0303030303030311E-2</v>
      </c>
      <c r="N244" s="30">
        <v>121.26005207204267</v>
      </c>
      <c r="O244" s="227">
        <v>26.136696509861096</v>
      </c>
      <c r="P244" s="239"/>
      <c r="Q244" s="239"/>
      <c r="R244" s="306"/>
      <c r="S244" s="306"/>
    </row>
    <row r="245" spans="1:20" ht="28.5" customHeight="1" x14ac:dyDescent="0.35">
      <c r="A245" s="1" t="s">
        <v>575</v>
      </c>
      <c r="B245" s="1" t="s">
        <v>16</v>
      </c>
      <c r="C245" s="222" t="s">
        <v>580</v>
      </c>
      <c r="D245" s="71" t="s">
        <v>918</v>
      </c>
      <c r="E245" s="82" t="s">
        <v>581</v>
      </c>
      <c r="F245" s="623" t="e">
        <f ca="1">_xll.JChemExcel.Functions.JCSYSStructure("835EA52B76ABD83E01D0ADA8C58920A0")</f>
        <v>#NAME?</v>
      </c>
      <c r="G245" s="282"/>
      <c r="H245" s="16">
        <v>1</v>
      </c>
      <c r="I245" s="17">
        <v>2</v>
      </c>
      <c r="J245" s="18">
        <v>4</v>
      </c>
      <c r="K245" s="19">
        <v>0.2</v>
      </c>
      <c r="L245" s="20">
        <v>0.45945945945945943</v>
      </c>
      <c r="M245" s="21">
        <v>0.51515151515151514</v>
      </c>
      <c r="N245" s="319">
        <v>67.772367620206936</v>
      </c>
      <c r="O245" s="227">
        <v>6.8745625401593227</v>
      </c>
      <c r="P245" s="239"/>
      <c r="Q245" s="239"/>
      <c r="R245" s="306"/>
      <c r="S245" s="306"/>
    </row>
    <row r="246" spans="1:20" ht="28.5" customHeight="1" x14ac:dyDescent="0.35">
      <c r="A246" s="1" t="s">
        <v>575</v>
      </c>
      <c r="B246" s="1" t="s">
        <v>19</v>
      </c>
      <c r="C246" s="222" t="s">
        <v>582</v>
      </c>
      <c r="D246" s="71" t="s">
        <v>918</v>
      </c>
      <c r="E246" s="82" t="s">
        <v>583</v>
      </c>
      <c r="F246" s="623" t="e">
        <f ca="1">_xll.JChemExcel.Functions.JCSYSStructure("DB4F4169C646E038B481D97AFD4D91A6")</f>
        <v>#NAME?</v>
      </c>
      <c r="G246" s="282"/>
      <c r="H246" s="16">
        <v>2</v>
      </c>
      <c r="I246" s="17">
        <v>1</v>
      </c>
      <c r="J246" s="18">
        <v>1</v>
      </c>
      <c r="K246" s="19">
        <v>0.1</v>
      </c>
      <c r="L246" s="20">
        <v>0.1891891891891892</v>
      </c>
      <c r="M246" s="21">
        <v>0.15151515151515155</v>
      </c>
      <c r="N246" s="30">
        <v>139.2396103182341</v>
      </c>
      <c r="O246" s="227">
        <v>21.389457002715041</v>
      </c>
      <c r="P246" s="239"/>
      <c r="Q246" s="239"/>
      <c r="R246" s="241">
        <v>1</v>
      </c>
      <c r="S246" s="241">
        <v>1</v>
      </c>
    </row>
    <row r="247" spans="1:20" ht="28.5" customHeight="1" x14ac:dyDescent="0.35">
      <c r="A247" s="1" t="s">
        <v>575</v>
      </c>
      <c r="B247" s="1" t="s">
        <v>23</v>
      </c>
      <c r="C247" s="222" t="s">
        <v>584</v>
      </c>
      <c r="D247" s="71" t="s">
        <v>918</v>
      </c>
      <c r="E247" s="82" t="s">
        <v>585</v>
      </c>
      <c r="F247" s="623" t="e">
        <f ca="1">_xll.JChemExcel.Functions.JCSYSStructure("6F8C09B69F25D24DD50E5BF2E8F3FFB6")</f>
        <v>#NAME?</v>
      </c>
      <c r="G247" s="282"/>
      <c r="H247" s="16">
        <v>0</v>
      </c>
      <c r="I247" s="17">
        <v>0</v>
      </c>
      <c r="J247" s="18">
        <v>0</v>
      </c>
      <c r="K247" s="19">
        <v>0.15</v>
      </c>
      <c r="L247" s="20">
        <v>8.1081081081080975E-2</v>
      </c>
      <c r="M247" s="21">
        <v>0.15151515151515155</v>
      </c>
      <c r="N247" s="30">
        <v>90.710522145913032</v>
      </c>
      <c r="O247" s="227">
        <v>2.0320344657143385</v>
      </c>
      <c r="P247" s="239"/>
      <c r="Q247" s="239"/>
      <c r="R247" s="306"/>
      <c r="S247" s="306"/>
    </row>
    <row r="248" spans="1:20" ht="28.5" customHeight="1" x14ac:dyDescent="0.35">
      <c r="A248" s="1" t="s">
        <v>575</v>
      </c>
      <c r="B248" s="1" t="s">
        <v>26</v>
      </c>
      <c r="C248" s="222" t="s">
        <v>586</v>
      </c>
      <c r="D248" s="71" t="s">
        <v>918</v>
      </c>
      <c r="E248" s="82" t="s">
        <v>587</v>
      </c>
      <c r="F248" s="623" t="e">
        <f ca="1">_xll.JChemExcel.Functions.JCSYSStructure("E645C8713666428F49E5FE9508200CB0")</f>
        <v>#NAME?</v>
      </c>
      <c r="G248" s="282"/>
      <c r="H248" s="16">
        <v>0</v>
      </c>
      <c r="I248" s="17">
        <v>0</v>
      </c>
      <c r="J248" s="18">
        <v>0</v>
      </c>
      <c r="K248" s="19">
        <v>0.1</v>
      </c>
      <c r="L248" s="20">
        <v>0.51351351351351349</v>
      </c>
      <c r="M248" s="21">
        <v>0.39393939393939392</v>
      </c>
      <c r="N248" s="30">
        <v>13.44008911020515</v>
      </c>
      <c r="O248" s="227">
        <v>6.4069448554805755</v>
      </c>
      <c r="P248" s="239"/>
      <c r="Q248" s="239">
        <v>1</v>
      </c>
      <c r="R248" s="306"/>
      <c r="S248" s="306"/>
    </row>
    <row r="249" spans="1:20" ht="28.5" customHeight="1" x14ac:dyDescent="0.35">
      <c r="A249" s="4" t="s">
        <v>575</v>
      </c>
      <c r="B249" s="4" t="s">
        <v>29</v>
      </c>
      <c r="C249" s="223" t="s">
        <v>588</v>
      </c>
      <c r="D249" s="73" t="s">
        <v>915</v>
      </c>
      <c r="E249" s="82" t="s">
        <v>589</v>
      </c>
      <c r="F249" s="623" t="e">
        <f ca="1">_xll.JChemExcel.Functions.JCSYSStructure("B9AA83F38D768107A3D5533DD194FDAE")</f>
        <v>#NAME?</v>
      </c>
      <c r="G249" s="282"/>
      <c r="H249" s="24">
        <v>0</v>
      </c>
      <c r="I249" s="25">
        <v>0</v>
      </c>
      <c r="J249" s="26">
        <v>2</v>
      </c>
      <c r="K249" s="27">
        <v>0.6</v>
      </c>
      <c r="L249" s="28">
        <v>1</v>
      </c>
      <c r="M249" s="29">
        <v>1</v>
      </c>
      <c r="N249" s="30">
        <v>3.0639790308775834</v>
      </c>
      <c r="O249" s="227">
        <v>8.4762410732986595</v>
      </c>
      <c r="P249" s="239">
        <v>1</v>
      </c>
      <c r="Q249" s="239"/>
      <c r="R249" s="306"/>
      <c r="S249" s="306"/>
    </row>
    <row r="250" spans="1:20" ht="28.5" customHeight="1" x14ac:dyDescent="0.35">
      <c r="A250" s="1" t="s">
        <v>575</v>
      </c>
      <c r="B250" s="1" t="s">
        <v>32</v>
      </c>
      <c r="C250" s="222" t="s">
        <v>590</v>
      </c>
      <c r="D250" s="71" t="s">
        <v>919</v>
      </c>
      <c r="E250" s="82" t="s">
        <v>591</v>
      </c>
      <c r="F250" s="623" t="e">
        <f ca="1">_xll.JChemExcel.Functions.JCSYSStructure("C4F0529DFEDC7BB3AF958375E18E5EDB")</f>
        <v>#NAME?</v>
      </c>
      <c r="G250" s="282"/>
      <c r="H250" s="16">
        <v>0</v>
      </c>
      <c r="I250" s="17">
        <v>0</v>
      </c>
      <c r="J250" s="18">
        <v>0</v>
      </c>
      <c r="K250" s="19">
        <v>0.1</v>
      </c>
      <c r="L250" s="20">
        <v>2.7027027027026945E-2</v>
      </c>
      <c r="M250" s="21">
        <v>3.0303030303030311E-2</v>
      </c>
      <c r="N250" s="30">
        <v>4.8646186029789069</v>
      </c>
      <c r="O250" s="227">
        <v>8.9667580081091636</v>
      </c>
      <c r="P250" s="239"/>
      <c r="Q250" s="239">
        <v>1</v>
      </c>
      <c r="R250" s="306"/>
      <c r="S250" s="306"/>
    </row>
    <row r="251" spans="1:20" ht="28.5" customHeight="1" x14ac:dyDescent="0.35">
      <c r="A251" s="1" t="s">
        <v>575</v>
      </c>
      <c r="B251" s="1" t="s">
        <v>35</v>
      </c>
      <c r="C251" s="222" t="s">
        <v>592</v>
      </c>
      <c r="D251" s="71" t="s">
        <v>919</v>
      </c>
      <c r="E251" s="82" t="s">
        <v>593</v>
      </c>
      <c r="F251" s="623" t="e">
        <f ca="1">_xll.JChemExcel.Functions.JCSYSStructure("40A430A0026E1AB6CDB6A8E12D9F87D4")</f>
        <v>#NAME?</v>
      </c>
      <c r="G251" s="282"/>
      <c r="H251" s="16">
        <v>2</v>
      </c>
      <c r="I251" s="17">
        <v>2</v>
      </c>
      <c r="J251" s="18">
        <v>2</v>
      </c>
      <c r="K251" s="32">
        <v>0.05</v>
      </c>
      <c r="L251" s="33">
        <v>0.15</v>
      </c>
      <c r="M251" s="34">
        <v>0.44444444444444442</v>
      </c>
      <c r="N251" s="42">
        <v>25.220680109739952</v>
      </c>
      <c r="O251" s="227">
        <v>1.3692251879741164</v>
      </c>
      <c r="P251" s="239"/>
      <c r="Q251" s="239"/>
      <c r="R251" s="306"/>
      <c r="S251" s="306"/>
    </row>
    <row r="252" spans="1:20" ht="28.5" customHeight="1" x14ac:dyDescent="0.35">
      <c r="A252" s="1" t="s">
        <v>575</v>
      </c>
      <c r="B252" s="1" t="s">
        <v>38</v>
      </c>
      <c r="C252" s="222" t="s">
        <v>594</v>
      </c>
      <c r="D252" s="71" t="s">
        <v>918</v>
      </c>
      <c r="E252" s="82" t="s">
        <v>595</v>
      </c>
      <c r="F252" s="623" t="e">
        <f ca="1">_xll.JChemExcel.Functions.JCSYSStructure("8981563AF21E40F59476E42E3020FBEB")</f>
        <v>#NAME?</v>
      </c>
      <c r="G252" s="282"/>
      <c r="H252" s="16">
        <v>0</v>
      </c>
      <c r="I252" s="17">
        <v>0</v>
      </c>
      <c r="J252" s="18">
        <v>0</v>
      </c>
      <c r="K252" s="19">
        <v>0.05</v>
      </c>
      <c r="L252" s="20">
        <v>8.1081081081080975E-2</v>
      </c>
      <c r="M252" s="21">
        <v>3.0303030303030311E-2</v>
      </c>
      <c r="N252" s="30">
        <v>92.47604459670471</v>
      </c>
      <c r="O252" s="227">
        <v>21.062349578290153</v>
      </c>
      <c r="P252" s="239"/>
      <c r="Q252" s="239"/>
      <c r="R252" s="306"/>
      <c r="S252" s="306"/>
    </row>
    <row r="253" spans="1:20" ht="28.5" customHeight="1" x14ac:dyDescent="0.35">
      <c r="A253" s="1" t="s">
        <v>575</v>
      </c>
      <c r="B253" s="1" t="s">
        <v>41</v>
      </c>
      <c r="C253" s="222" t="s">
        <v>596</v>
      </c>
      <c r="D253" s="71" t="s">
        <v>918</v>
      </c>
      <c r="E253" s="82" t="s">
        <v>597</v>
      </c>
      <c r="F253" s="623" t="e">
        <f ca="1">_xll.JChemExcel.Functions.JCSYSStructure("52A4E186AF7AA4896B8E2E003AC8A614")</f>
        <v>#NAME?</v>
      </c>
      <c r="G253" s="282"/>
      <c r="H253" s="16">
        <v>0</v>
      </c>
      <c r="I253" s="17">
        <v>0</v>
      </c>
      <c r="J253" s="18">
        <v>0</v>
      </c>
      <c r="K253" s="19">
        <v>0</v>
      </c>
      <c r="L253" s="20">
        <v>2.7027027027026945E-2</v>
      </c>
      <c r="M253" s="21">
        <v>3.0303030303030311E-2</v>
      </c>
      <c r="N253" s="30">
        <v>98.579979447714891</v>
      </c>
      <c r="O253" s="227">
        <v>2.520763297870158</v>
      </c>
      <c r="P253" s="239"/>
      <c r="Q253" s="239"/>
      <c r="R253" s="306"/>
      <c r="S253" s="306"/>
    </row>
    <row r="254" spans="1:20" ht="28.5" customHeight="1" x14ac:dyDescent="0.35">
      <c r="A254" s="1" t="s">
        <v>575</v>
      </c>
      <c r="B254" s="1" t="s">
        <v>44</v>
      </c>
      <c r="C254" s="222" t="s">
        <v>598</v>
      </c>
      <c r="D254" s="71" t="s">
        <v>918</v>
      </c>
      <c r="E254" s="82" t="s">
        <v>599</v>
      </c>
      <c r="F254" s="623" t="e">
        <f ca="1">_xll.JChemExcel.Functions.JCSYSStructure("0B583611FE735137197093D82E152DAC")</f>
        <v>#NAME?</v>
      </c>
      <c r="G254" s="282"/>
      <c r="H254" s="16">
        <v>0</v>
      </c>
      <c r="I254" s="17">
        <v>0</v>
      </c>
      <c r="J254" s="18">
        <v>0</v>
      </c>
      <c r="K254" s="19">
        <v>0.1</v>
      </c>
      <c r="L254" s="20">
        <v>0.13513513513513517</v>
      </c>
      <c r="M254" s="21">
        <v>0.15151515151515155</v>
      </c>
      <c r="N254" s="30">
        <v>135.06177411615278</v>
      </c>
      <c r="O254" s="227">
        <v>51.635040371845101</v>
      </c>
      <c r="P254" s="239"/>
      <c r="Q254" s="239"/>
      <c r="R254" s="241">
        <v>1</v>
      </c>
      <c r="S254" s="241"/>
    </row>
    <row r="255" spans="1:20" ht="28.5" customHeight="1" x14ac:dyDescent="0.35">
      <c r="A255" s="1" t="s">
        <v>575</v>
      </c>
      <c r="B255" s="1" t="s">
        <v>47</v>
      </c>
      <c r="C255" s="222" t="s">
        <v>600</v>
      </c>
      <c r="D255" s="71" t="s">
        <v>918</v>
      </c>
      <c r="E255" s="82" t="s">
        <v>601</v>
      </c>
      <c r="F255" s="623" t="e">
        <f ca="1">_xll.JChemExcel.Functions.JCSYSStructure("8522E176C282B7121FD0EA86699742A1")</f>
        <v>#NAME?</v>
      </c>
      <c r="G255" s="282"/>
      <c r="H255" s="16">
        <v>0</v>
      </c>
      <c r="I255" s="17">
        <v>0</v>
      </c>
      <c r="J255" s="18">
        <v>0</v>
      </c>
      <c r="K255" s="19">
        <v>0.1</v>
      </c>
      <c r="L255" s="20">
        <v>0.1891891891891892</v>
      </c>
      <c r="M255" s="21">
        <v>0.15151515151515155</v>
      </c>
      <c r="N255" s="30">
        <v>152.80191598361279</v>
      </c>
      <c r="O255" s="227">
        <v>43.407576290530976</v>
      </c>
      <c r="P255" s="239"/>
      <c r="Q255" s="239"/>
      <c r="R255" s="241">
        <v>1</v>
      </c>
      <c r="S255" s="241"/>
    </row>
    <row r="256" spans="1:20" ht="28.5" customHeight="1" x14ac:dyDescent="0.35">
      <c r="A256" s="1" t="s">
        <v>575</v>
      </c>
      <c r="B256" s="1" t="s">
        <v>50</v>
      </c>
      <c r="C256" s="222" t="s">
        <v>602</v>
      </c>
      <c r="D256" s="71" t="s">
        <v>918</v>
      </c>
      <c r="E256" s="82" t="s">
        <v>603</v>
      </c>
      <c r="F256" s="623" t="e">
        <f ca="1">_xll.JChemExcel.Functions.JCSYSStructure("5063EABDEF8DBC37AF10FCAA490E5919")</f>
        <v>#NAME?</v>
      </c>
      <c r="G256" s="282"/>
      <c r="H256" s="16">
        <v>0</v>
      </c>
      <c r="I256" s="17">
        <v>0</v>
      </c>
      <c r="J256" s="18">
        <v>0</v>
      </c>
      <c r="K256" s="19">
        <v>0.1</v>
      </c>
      <c r="L256" s="20">
        <v>0.24324324324324323</v>
      </c>
      <c r="M256" s="21">
        <v>0.21212121212121218</v>
      </c>
      <c r="N256" s="30">
        <v>125.47626831030561</v>
      </c>
      <c r="O256" s="227">
        <v>48.330107538609582</v>
      </c>
      <c r="P256" s="239"/>
      <c r="Q256" s="239"/>
      <c r="R256" s="306"/>
      <c r="S256" s="306"/>
    </row>
    <row r="257" spans="1:19" ht="28.5" customHeight="1" x14ac:dyDescent="0.35">
      <c r="A257" s="1" t="s">
        <v>575</v>
      </c>
      <c r="B257" s="1" t="s">
        <v>53</v>
      </c>
      <c r="C257" s="222" t="s">
        <v>604</v>
      </c>
      <c r="D257" s="71" t="s">
        <v>919</v>
      </c>
      <c r="E257" s="82" t="s">
        <v>605</v>
      </c>
      <c r="F257" s="623" t="e">
        <f ca="1">_xll.JChemExcel.Functions.JCSYSStructure("AC16ADF86A062B2DDA79A8BE3AEE2A1A")</f>
        <v>#NAME?</v>
      </c>
      <c r="G257" s="282"/>
      <c r="H257" s="16">
        <v>0</v>
      </c>
      <c r="I257" s="17">
        <v>0</v>
      </c>
      <c r="J257" s="18">
        <v>0</v>
      </c>
      <c r="K257" s="19">
        <v>0.15</v>
      </c>
      <c r="L257" s="20">
        <v>0.29729729729729726</v>
      </c>
      <c r="M257" s="21">
        <v>0.15151515151515155</v>
      </c>
      <c r="N257" s="30">
        <v>111.85718792615448</v>
      </c>
      <c r="O257" s="227">
        <v>2.9297196793148679</v>
      </c>
      <c r="P257" s="239"/>
      <c r="Q257" s="239"/>
      <c r="R257" s="306"/>
      <c r="S257" s="306"/>
    </row>
    <row r="258" spans="1:19" ht="28.5" customHeight="1" x14ac:dyDescent="0.35">
      <c r="A258" s="4" t="s">
        <v>575</v>
      </c>
      <c r="B258" s="4" t="s">
        <v>56</v>
      </c>
      <c r="C258" s="223" t="s">
        <v>606</v>
      </c>
      <c r="D258" s="71" t="s">
        <v>918</v>
      </c>
      <c r="E258" s="82" t="s">
        <v>607</v>
      </c>
      <c r="F258" s="623" t="e">
        <f ca="1">_xll.JChemExcel.Functions.JCSYSStructure("DCCBDC36297571296FCE33906E41AF21")</f>
        <v>#NAME?</v>
      </c>
      <c r="G258" s="282"/>
      <c r="H258" s="24">
        <v>0</v>
      </c>
      <c r="I258" s="25">
        <v>2</v>
      </c>
      <c r="J258" s="26">
        <v>4</v>
      </c>
      <c r="K258" s="27">
        <v>0.6</v>
      </c>
      <c r="L258" s="28">
        <v>0.78378378378378388</v>
      </c>
      <c r="M258" s="29">
        <v>0.93939393939393934</v>
      </c>
      <c r="N258" s="30">
        <v>19.210268556247851</v>
      </c>
      <c r="O258" s="227">
        <v>11.833605690840699</v>
      </c>
      <c r="P258" s="239">
        <v>1</v>
      </c>
      <c r="Q258" s="239"/>
      <c r="R258" s="306"/>
      <c r="S258" s="306"/>
    </row>
    <row r="259" spans="1:19" ht="28.5" customHeight="1" x14ac:dyDescent="0.35">
      <c r="A259" s="1" t="s">
        <v>575</v>
      </c>
      <c r="B259" s="1" t="s">
        <v>59</v>
      </c>
      <c r="C259" s="222" t="s">
        <v>608</v>
      </c>
      <c r="D259" s="71" t="s">
        <v>925</v>
      </c>
      <c r="E259" s="82" t="s">
        <v>609</v>
      </c>
      <c r="F259" s="623" t="e">
        <f ca="1">_xll.JChemExcel.Functions.JCSYSStructure("F754BF4267D8D7CF453FB0C4DC159C46")</f>
        <v>#NAME?</v>
      </c>
      <c r="G259" s="282"/>
      <c r="H259" s="16">
        <v>1</v>
      </c>
      <c r="I259" s="17">
        <v>0</v>
      </c>
      <c r="J259" s="18">
        <v>0</v>
      </c>
      <c r="K259" s="19">
        <v>0.1</v>
      </c>
      <c r="L259" s="20">
        <v>2.7027027027026945E-2</v>
      </c>
      <c r="M259" s="21">
        <v>9.0909090909090939E-2</v>
      </c>
      <c r="N259" s="30">
        <v>116.71905344471017</v>
      </c>
      <c r="O259" s="227">
        <v>5.8758783669100998</v>
      </c>
      <c r="P259" s="239"/>
      <c r="Q259" s="239"/>
      <c r="R259" s="306"/>
      <c r="S259" s="306"/>
    </row>
    <row r="260" spans="1:19" ht="28.5" customHeight="1" x14ac:dyDescent="0.35">
      <c r="A260" s="1" t="s">
        <v>575</v>
      </c>
      <c r="B260" s="1" t="s">
        <v>62</v>
      </c>
      <c r="C260" s="222" t="s">
        <v>610</v>
      </c>
      <c r="D260" s="71" t="s">
        <v>919</v>
      </c>
      <c r="E260" s="82" t="s">
        <v>611</v>
      </c>
      <c r="F260" s="623" t="e">
        <f ca="1">_xll.JChemExcel.Functions.JCSYSStructure("62AB472B5F04F29BC4FC388974A3D82D")</f>
        <v>#NAME?</v>
      </c>
      <c r="G260" s="282"/>
      <c r="H260" s="16">
        <v>0</v>
      </c>
      <c r="I260" s="17">
        <v>0</v>
      </c>
      <c r="J260" s="18">
        <v>0</v>
      </c>
      <c r="K260" s="19">
        <v>0.15</v>
      </c>
      <c r="L260" s="20">
        <v>8.1081081081080975E-2</v>
      </c>
      <c r="M260" s="21">
        <v>0.15151515151515155</v>
      </c>
      <c r="N260" s="30">
        <v>121.28395292347989</v>
      </c>
      <c r="O260" s="227">
        <v>8.9146146274567073</v>
      </c>
      <c r="P260" s="239"/>
      <c r="Q260" s="239"/>
      <c r="R260" s="306"/>
      <c r="S260" s="306"/>
    </row>
    <row r="261" spans="1:19" ht="28.5" customHeight="1" x14ac:dyDescent="0.35">
      <c r="A261" s="1" t="s">
        <v>575</v>
      </c>
      <c r="B261" s="1" t="s">
        <v>65</v>
      </c>
      <c r="C261" s="222" t="s">
        <v>612</v>
      </c>
      <c r="D261" s="71" t="s">
        <v>918</v>
      </c>
      <c r="E261" s="82" t="s">
        <v>613</v>
      </c>
      <c r="F261" s="623" t="e">
        <f ca="1">_xll.JChemExcel.Functions.JCSYSStructure("8F57F455D03574065C862C97334A2A99")</f>
        <v>#NAME?</v>
      </c>
      <c r="G261" s="282"/>
      <c r="H261" s="16">
        <v>0</v>
      </c>
      <c r="I261" s="17">
        <v>0</v>
      </c>
      <c r="J261" s="18">
        <v>0</v>
      </c>
      <c r="K261" s="19">
        <v>0.15</v>
      </c>
      <c r="L261" s="20">
        <v>0.45945945945945943</v>
      </c>
      <c r="M261" s="21">
        <v>0.45454545454545459</v>
      </c>
      <c r="N261" s="30">
        <v>-18.0627421822089</v>
      </c>
      <c r="O261" s="227">
        <v>6.10544767553532</v>
      </c>
      <c r="P261" s="239"/>
      <c r="Q261" s="239">
        <v>1</v>
      </c>
      <c r="R261" s="306"/>
      <c r="S261" s="306"/>
    </row>
    <row r="262" spans="1:19" ht="28.5" customHeight="1" x14ac:dyDescent="0.35">
      <c r="A262" s="1" t="s">
        <v>575</v>
      </c>
      <c r="B262" s="1" t="s">
        <v>68</v>
      </c>
      <c r="C262" s="222" t="s">
        <v>614</v>
      </c>
      <c r="D262" s="71" t="s">
        <v>916</v>
      </c>
      <c r="E262" s="82" t="s">
        <v>615</v>
      </c>
      <c r="F262" s="623" t="e">
        <f ca="1">_xll.JChemExcel.Functions.JCSYSStructure("A015C5BA7A842E3448F8CB152E73CC50")</f>
        <v>#NAME?</v>
      </c>
      <c r="G262" s="282"/>
      <c r="H262" s="16">
        <v>1</v>
      </c>
      <c r="I262" s="17">
        <v>1</v>
      </c>
      <c r="J262" s="18">
        <v>0</v>
      </c>
      <c r="K262" s="19">
        <v>0.1</v>
      </c>
      <c r="L262" s="20">
        <v>0.13513513513513517</v>
      </c>
      <c r="M262" s="21">
        <v>0.27272727272727265</v>
      </c>
      <c r="N262" s="30">
        <v>73.910711558121349</v>
      </c>
      <c r="O262" s="227">
        <v>18.288829318009419</v>
      </c>
      <c r="P262" s="239"/>
      <c r="Q262" s="239"/>
      <c r="R262" s="306"/>
      <c r="S262" s="306"/>
    </row>
    <row r="263" spans="1:19" ht="28.5" customHeight="1" x14ac:dyDescent="0.35">
      <c r="A263" s="1" t="s">
        <v>575</v>
      </c>
      <c r="B263" s="1" t="s">
        <v>71</v>
      </c>
      <c r="C263" s="222" t="s">
        <v>616</v>
      </c>
      <c r="D263" s="71" t="s">
        <v>918</v>
      </c>
      <c r="E263" s="82" t="s">
        <v>617</v>
      </c>
      <c r="F263" s="623" t="e">
        <f ca="1">_xll.JChemExcel.Functions.JCSYSStructure("63491FCA04E3A4A1974ECEC6347EA0BA")</f>
        <v>#NAME?</v>
      </c>
      <c r="G263" s="282"/>
      <c r="H263" s="16">
        <v>1</v>
      </c>
      <c r="I263" s="17">
        <v>0</v>
      </c>
      <c r="J263" s="18">
        <v>0</v>
      </c>
      <c r="K263" s="19">
        <v>0.05</v>
      </c>
      <c r="L263" s="20">
        <v>2.7027027027026945E-2</v>
      </c>
      <c r="M263" s="21">
        <v>9.0909090909090939E-2</v>
      </c>
      <c r="N263" s="30">
        <v>108.88304102034606</v>
      </c>
      <c r="O263" s="227">
        <v>3.6682637566089009</v>
      </c>
      <c r="P263" s="239"/>
      <c r="Q263" s="239"/>
      <c r="R263" s="306"/>
      <c r="S263" s="306"/>
    </row>
    <row r="264" spans="1:19" ht="28.5" customHeight="1" x14ac:dyDescent="0.35">
      <c r="A264" s="1" t="s">
        <v>575</v>
      </c>
      <c r="B264" s="1" t="s">
        <v>74</v>
      </c>
      <c r="C264" s="222" t="s">
        <v>618</v>
      </c>
      <c r="D264" s="71" t="s">
        <v>918</v>
      </c>
      <c r="E264" s="82" t="s">
        <v>619</v>
      </c>
      <c r="F264" s="623" t="e">
        <f ca="1">_xll.JChemExcel.Functions.JCSYSStructure("10D342A56741B47608ED98FE7B3D74DE")</f>
        <v>#NAME?</v>
      </c>
      <c r="G264" s="282"/>
      <c r="H264" s="16">
        <v>0</v>
      </c>
      <c r="I264" s="17">
        <v>0</v>
      </c>
      <c r="J264" s="18">
        <v>0</v>
      </c>
      <c r="K264" s="19">
        <v>0.1</v>
      </c>
      <c r="L264" s="20">
        <v>0.1891891891891892</v>
      </c>
      <c r="M264" s="21">
        <v>0.21212121212121218</v>
      </c>
      <c r="N264" s="30">
        <v>111.48264608528726</v>
      </c>
      <c r="O264" s="227">
        <v>31.615443045142872</v>
      </c>
      <c r="P264" s="239"/>
      <c r="Q264" s="239"/>
      <c r="R264" s="306"/>
      <c r="S264" s="306"/>
    </row>
    <row r="265" spans="1:19" ht="28.5" customHeight="1" x14ac:dyDescent="0.35">
      <c r="A265" s="1" t="s">
        <v>575</v>
      </c>
      <c r="B265" s="1" t="s">
        <v>77</v>
      </c>
      <c r="C265" s="222" t="s">
        <v>620</v>
      </c>
      <c r="D265" s="71" t="s">
        <v>918</v>
      </c>
      <c r="E265" s="82" t="s">
        <v>621</v>
      </c>
      <c r="F265" s="623" t="e">
        <f ca="1">_xll.JChemExcel.Functions.JCSYSStructure("4E6CDECDD679BDA3CCAB58422E8A2A56")</f>
        <v>#NAME?</v>
      </c>
      <c r="G265" s="282"/>
      <c r="H265" s="16">
        <v>0</v>
      </c>
      <c r="I265" s="17">
        <v>2</v>
      </c>
      <c r="J265" s="18">
        <v>0</v>
      </c>
      <c r="K265" s="19">
        <v>0.2</v>
      </c>
      <c r="L265" s="20">
        <v>0.51351351351351349</v>
      </c>
      <c r="M265" s="21">
        <v>0.5757575757575758</v>
      </c>
      <c r="N265" s="30">
        <v>85.916851548181683</v>
      </c>
      <c r="O265" s="227" t="e">
        <v>#DIV/0!</v>
      </c>
      <c r="P265" s="239"/>
      <c r="Q265" s="239"/>
      <c r="R265" s="306"/>
      <c r="S265" s="306"/>
    </row>
    <row r="266" spans="1:19" ht="28.5" customHeight="1" x14ac:dyDescent="0.35">
      <c r="A266" s="1" t="s">
        <v>575</v>
      </c>
      <c r="B266" s="1" t="s">
        <v>80</v>
      </c>
      <c r="C266" s="222" t="s">
        <v>622</v>
      </c>
      <c r="D266" s="71" t="s">
        <v>918</v>
      </c>
      <c r="E266" s="82" t="s">
        <v>623</v>
      </c>
      <c r="F266" s="623" t="e">
        <f ca="1">_xll.JChemExcel.Functions.JCSYSStructure("0E2F056EDA479FAE8841DE5B7E2BCCCE")</f>
        <v>#NAME?</v>
      </c>
      <c r="G266" s="282"/>
      <c r="H266" s="16">
        <v>0</v>
      </c>
      <c r="I266" s="17">
        <v>0</v>
      </c>
      <c r="J266" s="18">
        <v>0</v>
      </c>
      <c r="K266" s="19">
        <v>0.1</v>
      </c>
      <c r="L266" s="20">
        <v>0.13513513513513517</v>
      </c>
      <c r="M266" s="21">
        <v>9.0909090909090939E-2</v>
      </c>
      <c r="N266" s="30">
        <v>152.12694125590809</v>
      </c>
      <c r="O266" s="227" t="e">
        <v>#DIV/0!</v>
      </c>
      <c r="P266" s="239"/>
      <c r="Q266" s="239"/>
      <c r="R266" s="324">
        <v>1</v>
      </c>
      <c r="S266" s="306"/>
    </row>
    <row r="267" spans="1:19" ht="28.5" customHeight="1" x14ac:dyDescent="0.35">
      <c r="A267" s="1" t="s">
        <v>575</v>
      </c>
      <c r="B267" s="1" t="s">
        <v>83</v>
      </c>
      <c r="C267" s="222" t="s">
        <v>624</v>
      </c>
      <c r="D267" s="71" t="s">
        <v>919</v>
      </c>
      <c r="E267" s="82" t="s">
        <v>625</v>
      </c>
      <c r="F267" s="623" t="e">
        <f ca="1">_xll.JChemExcel.Functions.JCSYSStructure("4679706214D21B359183386472501436")</f>
        <v>#NAME?</v>
      </c>
      <c r="G267" s="282"/>
      <c r="H267" s="16">
        <v>0</v>
      </c>
      <c r="I267" s="17">
        <v>0</v>
      </c>
      <c r="J267" s="18">
        <v>0</v>
      </c>
      <c r="K267" s="19">
        <v>0.05</v>
      </c>
      <c r="L267" s="20">
        <v>2.7027027027026945E-2</v>
      </c>
      <c r="M267" s="21">
        <v>3.0303030303030311E-2</v>
      </c>
      <c r="N267" s="30">
        <v>54.134184519059588</v>
      </c>
      <c r="O267" s="227">
        <v>67.374092984387033</v>
      </c>
      <c r="P267" s="239"/>
      <c r="Q267" s="239"/>
      <c r="R267" s="306"/>
      <c r="S267" s="306"/>
    </row>
    <row r="268" spans="1:19" ht="28.5" customHeight="1" x14ac:dyDescent="0.35">
      <c r="A268" s="1" t="s">
        <v>575</v>
      </c>
      <c r="B268" s="1" t="s">
        <v>86</v>
      </c>
      <c r="C268" s="222" t="s">
        <v>626</v>
      </c>
      <c r="D268" s="71" t="s">
        <v>918</v>
      </c>
      <c r="E268" s="82" t="s">
        <v>627</v>
      </c>
      <c r="F268" s="623" t="e">
        <f ca="1">_xll.JChemExcel.Functions.JCSYSStructure("8204EE43B50DBD39D3A1744353028654")</f>
        <v>#NAME?</v>
      </c>
      <c r="G268" s="282"/>
      <c r="H268" s="16">
        <v>2</v>
      </c>
      <c r="I268" s="17">
        <v>3</v>
      </c>
      <c r="J268" s="18">
        <v>3</v>
      </c>
      <c r="K268" s="19">
        <v>0.44999999999999996</v>
      </c>
      <c r="L268" s="20">
        <v>0.56756756756756754</v>
      </c>
      <c r="M268" s="21">
        <v>0.51515151515151514</v>
      </c>
      <c r="N268" s="30">
        <v>4.5462804707815074</v>
      </c>
      <c r="O268" s="227">
        <v>8.1806273278960759</v>
      </c>
      <c r="P268" s="239">
        <v>1</v>
      </c>
      <c r="Q268" s="239"/>
      <c r="R268" s="306"/>
      <c r="S268" s="306"/>
    </row>
    <row r="269" spans="1:19" ht="28.5" customHeight="1" x14ac:dyDescent="0.35">
      <c r="A269" s="1" t="s">
        <v>575</v>
      </c>
      <c r="B269" s="1" t="s">
        <v>89</v>
      </c>
      <c r="C269" s="222" t="s">
        <v>628</v>
      </c>
      <c r="D269" s="71" t="s">
        <v>919</v>
      </c>
      <c r="E269" s="82" t="s">
        <v>629</v>
      </c>
      <c r="F269" s="623" t="e">
        <f ca="1">_xll.JChemExcel.Functions.JCSYSStructure("3A3487A867807EC0D7050C6D17813A72")</f>
        <v>#NAME?</v>
      </c>
      <c r="G269" s="282"/>
      <c r="H269" s="16">
        <v>0</v>
      </c>
      <c r="I269" s="17">
        <v>0</v>
      </c>
      <c r="J269" s="18">
        <v>0</v>
      </c>
      <c r="K269" s="19">
        <v>0.15</v>
      </c>
      <c r="L269" s="20">
        <v>0.13513513513513517</v>
      </c>
      <c r="M269" s="21">
        <v>0.27272727272727265</v>
      </c>
      <c r="N269" s="30">
        <v>40.528686018063084</v>
      </c>
      <c r="O269" s="227">
        <v>61.040344976304738</v>
      </c>
      <c r="P269" s="239"/>
      <c r="Q269" s="239">
        <v>1</v>
      </c>
      <c r="R269" s="306"/>
      <c r="S269" s="306"/>
    </row>
    <row r="270" spans="1:19" ht="28.5" customHeight="1" x14ac:dyDescent="0.35">
      <c r="A270" s="1" t="s">
        <v>575</v>
      </c>
      <c r="B270" s="1" t="s">
        <v>92</v>
      </c>
      <c r="C270" s="222" t="s">
        <v>630</v>
      </c>
      <c r="D270" s="71" t="s">
        <v>919</v>
      </c>
      <c r="E270" s="82" t="s">
        <v>631</v>
      </c>
      <c r="F270" s="623" t="e">
        <f ca="1">_xll.JChemExcel.Functions.JCSYSStructure("119A472CCBAED790E4291ED7C16E6FCC")</f>
        <v>#NAME?</v>
      </c>
      <c r="G270" s="282"/>
      <c r="H270" s="16">
        <v>0</v>
      </c>
      <c r="I270" s="17">
        <v>0</v>
      </c>
      <c r="J270" s="18">
        <v>0</v>
      </c>
      <c r="K270" s="19">
        <v>0.05</v>
      </c>
      <c r="L270" s="20">
        <v>8.1081081081080975E-2</v>
      </c>
      <c r="M270" s="21">
        <v>9.0909090909090939E-2</v>
      </c>
      <c r="N270" s="30">
        <v>69.276679070501572</v>
      </c>
      <c r="O270" s="227">
        <v>31.553955386099211</v>
      </c>
      <c r="P270" s="239"/>
      <c r="Q270" s="239"/>
      <c r="R270" s="306"/>
      <c r="S270" s="306"/>
    </row>
    <row r="271" spans="1:19" ht="28.5" customHeight="1" x14ac:dyDescent="0.35">
      <c r="A271" s="1" t="s">
        <v>575</v>
      </c>
      <c r="B271" s="1" t="s">
        <v>95</v>
      </c>
      <c r="C271" s="222" t="s">
        <v>632</v>
      </c>
      <c r="D271" s="71" t="s">
        <v>919</v>
      </c>
      <c r="E271" s="82" t="s">
        <v>633</v>
      </c>
      <c r="F271" s="623" t="e">
        <f ca="1">_xll.JChemExcel.Functions.JCSYSStructure("F186DDAC3CA1D749F6BD5DC4C813EB9D")</f>
        <v>#NAME?</v>
      </c>
      <c r="G271" s="282"/>
      <c r="H271" s="16">
        <v>1</v>
      </c>
      <c r="I271" s="17">
        <v>2</v>
      </c>
      <c r="J271" s="18">
        <v>4</v>
      </c>
      <c r="K271" s="19">
        <v>0.05</v>
      </c>
      <c r="L271" s="20">
        <v>0.51351351351351349</v>
      </c>
      <c r="M271" s="21">
        <v>0.39393939393939392</v>
      </c>
      <c r="N271" s="30">
        <v>58.711523860778755</v>
      </c>
      <c r="O271" s="227">
        <v>3.1153939517930476</v>
      </c>
      <c r="P271" s="239"/>
      <c r="Q271" s="239"/>
      <c r="R271" s="306"/>
      <c r="S271" s="306"/>
    </row>
    <row r="272" spans="1:19" ht="28.5" customHeight="1" x14ac:dyDescent="0.35">
      <c r="A272" s="1" t="s">
        <v>575</v>
      </c>
      <c r="B272" s="1" t="s">
        <v>98</v>
      </c>
      <c r="C272" s="222" t="s">
        <v>634</v>
      </c>
      <c r="D272" s="71" t="s">
        <v>919</v>
      </c>
      <c r="E272" s="82" t="s">
        <v>635</v>
      </c>
      <c r="F272" s="623" t="e">
        <f ca="1">_xll.JChemExcel.Functions.JCSYSStructure("CA329A2E8B14CF24BE2CA6F4B77D10D0")</f>
        <v>#NAME?</v>
      </c>
      <c r="G272" s="282"/>
      <c r="H272" s="16">
        <v>0</v>
      </c>
      <c r="I272" s="17">
        <v>0</v>
      </c>
      <c r="J272" s="18">
        <v>0</v>
      </c>
      <c r="K272" s="19">
        <v>0.05</v>
      </c>
      <c r="L272" s="20">
        <v>2.7027027027026945E-2</v>
      </c>
      <c r="M272" s="21">
        <v>3.0303030303030311E-2</v>
      </c>
      <c r="N272" s="30">
        <v>80.246762015836936</v>
      </c>
      <c r="O272" s="227">
        <v>5.8956051768478988</v>
      </c>
      <c r="P272" s="239"/>
      <c r="Q272" s="239"/>
      <c r="R272" s="306"/>
      <c r="S272" s="306"/>
    </row>
    <row r="273" spans="1:19" ht="28.5" customHeight="1" x14ac:dyDescent="0.35">
      <c r="A273" s="1" t="s">
        <v>575</v>
      </c>
      <c r="B273" s="1" t="s">
        <v>101</v>
      </c>
      <c r="C273" s="222" t="s">
        <v>636</v>
      </c>
      <c r="D273" s="71" t="s">
        <v>918</v>
      </c>
      <c r="E273" s="82" t="s">
        <v>637</v>
      </c>
      <c r="F273" s="623" t="e">
        <f ca="1">_xll.JChemExcel.Functions.JCSYSStructure("F1E125544CD02E6DAAED5CFEE7029FC2")</f>
        <v>#NAME?</v>
      </c>
      <c r="G273" s="282"/>
      <c r="H273" s="16">
        <v>0</v>
      </c>
      <c r="I273" s="17">
        <v>0</v>
      </c>
      <c r="J273" s="18">
        <v>0</v>
      </c>
      <c r="K273" s="19">
        <v>0.05</v>
      </c>
      <c r="L273" s="20">
        <v>8.1081081081080975E-2</v>
      </c>
      <c r="M273" s="21">
        <v>0.21212121212121218</v>
      </c>
      <c r="N273" s="30">
        <v>117.65322597255765</v>
      </c>
      <c r="O273" s="227">
        <v>1.1746680829512322</v>
      </c>
      <c r="P273" s="239"/>
      <c r="Q273" s="239"/>
      <c r="R273" s="306"/>
      <c r="S273" s="306"/>
    </row>
    <row r="274" spans="1:19" ht="28.5" customHeight="1" x14ac:dyDescent="0.35">
      <c r="A274" s="1" t="s">
        <v>575</v>
      </c>
      <c r="B274" s="1" t="s">
        <v>104</v>
      </c>
      <c r="C274" s="222" t="s">
        <v>638</v>
      </c>
      <c r="D274" s="71" t="s">
        <v>918</v>
      </c>
      <c r="E274" s="82" t="s">
        <v>639</v>
      </c>
      <c r="F274" s="623" t="e">
        <f ca="1">_xll.JChemExcel.Functions.JCSYSStructure("B36C7D9BF8560B31EC6726C5769C7423")</f>
        <v>#NAME?</v>
      </c>
      <c r="G274" s="282"/>
      <c r="H274" s="16">
        <v>1</v>
      </c>
      <c r="I274" s="17">
        <v>1</v>
      </c>
      <c r="J274" s="18">
        <v>1</v>
      </c>
      <c r="K274" s="19">
        <v>0.1</v>
      </c>
      <c r="L274" s="20">
        <v>0.40540540540540543</v>
      </c>
      <c r="M274" s="21">
        <v>0.39393939393939392</v>
      </c>
      <c r="N274" s="30">
        <v>115.83235632825001</v>
      </c>
      <c r="O274" s="227">
        <v>17.606523953254747</v>
      </c>
      <c r="P274" s="239"/>
      <c r="Q274" s="239"/>
      <c r="R274" s="306"/>
      <c r="S274" s="306"/>
    </row>
    <row r="275" spans="1:19" ht="28.5" customHeight="1" x14ac:dyDescent="0.35">
      <c r="A275" s="1" t="s">
        <v>575</v>
      </c>
      <c r="B275" s="1" t="s">
        <v>107</v>
      </c>
      <c r="C275" s="222" t="s">
        <v>640</v>
      </c>
      <c r="D275" s="71" t="s">
        <v>918</v>
      </c>
      <c r="E275" s="82" t="s">
        <v>641</v>
      </c>
      <c r="F275" s="623" t="e">
        <f ca="1">_xll.JChemExcel.Functions.JCSYSStructure("2F358F79497D3EF35D4AC891300046C4")</f>
        <v>#NAME?</v>
      </c>
      <c r="G275" s="282"/>
      <c r="H275" s="16">
        <v>0</v>
      </c>
      <c r="I275" s="17">
        <v>0</v>
      </c>
      <c r="J275" s="18">
        <v>0</v>
      </c>
      <c r="K275" s="19">
        <v>0.1</v>
      </c>
      <c r="L275" s="20">
        <v>0.13513513513513517</v>
      </c>
      <c r="M275" s="21">
        <v>0.27272727272727265</v>
      </c>
      <c r="N275" s="30">
        <v>88.637837046360488</v>
      </c>
      <c r="O275" s="227">
        <v>88.150173095665778</v>
      </c>
      <c r="P275" s="239"/>
      <c r="Q275" s="239"/>
      <c r="R275" s="306"/>
      <c r="S275" s="306"/>
    </row>
    <row r="276" spans="1:19" ht="28.5" customHeight="1" x14ac:dyDescent="0.35">
      <c r="A276" s="1" t="s">
        <v>575</v>
      </c>
      <c r="B276" s="1" t="s">
        <v>110</v>
      </c>
      <c r="C276" s="222" t="s">
        <v>642</v>
      </c>
      <c r="D276" s="71" t="s">
        <v>925</v>
      </c>
      <c r="E276" s="82" t="s">
        <v>643</v>
      </c>
      <c r="F276" s="623" t="e">
        <f ca="1">_xll.JChemExcel.Functions.JCSYSStructure("210656EF77420D0AE5958C74BCFB60D9")</f>
        <v>#NAME?</v>
      </c>
      <c r="G276" s="282"/>
      <c r="H276" s="16">
        <v>1</v>
      </c>
      <c r="I276" s="17">
        <v>1</v>
      </c>
      <c r="J276" s="18">
        <v>0</v>
      </c>
      <c r="K276" s="19">
        <v>0.15</v>
      </c>
      <c r="L276" s="20">
        <v>0.13513513513513517</v>
      </c>
      <c r="M276" s="21">
        <v>9.0909090909090939E-2</v>
      </c>
      <c r="N276" s="30">
        <v>114.27390661252124</v>
      </c>
      <c r="O276" s="227">
        <v>26.849514981214373</v>
      </c>
      <c r="P276" s="239"/>
      <c r="Q276" s="239"/>
      <c r="R276" s="306"/>
      <c r="S276" s="306"/>
    </row>
    <row r="277" spans="1:19" ht="28.5" customHeight="1" x14ac:dyDescent="0.35">
      <c r="A277" s="1" t="s">
        <v>575</v>
      </c>
      <c r="B277" s="1" t="s">
        <v>113</v>
      </c>
      <c r="C277" s="222" t="s">
        <v>644</v>
      </c>
      <c r="D277" s="71" t="s">
        <v>919</v>
      </c>
      <c r="E277" s="82" t="s">
        <v>645</v>
      </c>
      <c r="F277" s="623" t="e">
        <f ca="1">_xll.JChemExcel.Functions.JCSYSStructure("9A5EF5896408253AD86117AAA9CA8A99")</f>
        <v>#NAME?</v>
      </c>
      <c r="G277" s="282"/>
      <c r="H277" s="16">
        <v>0</v>
      </c>
      <c r="I277" s="17">
        <v>0</v>
      </c>
      <c r="J277" s="18">
        <v>0</v>
      </c>
      <c r="K277" s="32">
        <v>0.3</v>
      </c>
      <c r="L277" s="33">
        <v>0.25</v>
      </c>
      <c r="M277" s="34">
        <v>0.22222222222222215</v>
      </c>
      <c r="N277" s="42">
        <v>124.78689597072835</v>
      </c>
      <c r="O277" s="227">
        <v>23.376846582782679</v>
      </c>
      <c r="P277" s="239"/>
      <c r="Q277" s="239"/>
      <c r="R277" s="306"/>
      <c r="S277" s="306"/>
    </row>
    <row r="278" spans="1:19" ht="28.5" customHeight="1" x14ac:dyDescent="0.35">
      <c r="A278" s="1" t="s">
        <v>575</v>
      </c>
      <c r="B278" s="1" t="s">
        <v>116</v>
      </c>
      <c r="C278" s="222" t="s">
        <v>646</v>
      </c>
      <c r="D278" s="71" t="s">
        <v>918</v>
      </c>
      <c r="E278" s="82" t="s">
        <v>647</v>
      </c>
      <c r="F278" s="623" t="e">
        <f ca="1">_xll.JChemExcel.Functions.JCSYSStructure("CE0A71183FB8F2D29DAD74A0D1FA1456")</f>
        <v>#NAME?</v>
      </c>
      <c r="G278" s="282"/>
      <c r="H278" s="16">
        <v>0</v>
      </c>
      <c r="I278" s="17">
        <v>0</v>
      </c>
      <c r="J278" s="18">
        <v>0</v>
      </c>
      <c r="K278" s="19">
        <v>0.15</v>
      </c>
      <c r="L278" s="20">
        <v>0.1891891891891892</v>
      </c>
      <c r="M278" s="21">
        <v>0.45454545454545459</v>
      </c>
      <c r="N278" s="30">
        <v>116.49570692172327</v>
      </c>
      <c r="O278" s="227">
        <v>2.8116472233456014</v>
      </c>
      <c r="P278" s="239"/>
      <c r="Q278" s="239"/>
      <c r="R278" s="306"/>
      <c r="S278" s="306"/>
    </row>
    <row r="279" spans="1:19" ht="28.5" customHeight="1" x14ac:dyDescent="0.35">
      <c r="A279" s="1" t="s">
        <v>575</v>
      </c>
      <c r="B279" s="1" t="s">
        <v>119</v>
      </c>
      <c r="C279" s="222" t="s">
        <v>648</v>
      </c>
      <c r="D279" s="71" t="s">
        <v>919</v>
      </c>
      <c r="E279" s="82" t="s">
        <v>649</v>
      </c>
      <c r="F279" s="623" t="e">
        <f ca="1">_xll.JChemExcel.Functions.JCSYSStructure("B4A1C69FEC1A290C320E24B5C1B2EC03")</f>
        <v>#NAME?</v>
      </c>
      <c r="G279" s="282"/>
      <c r="H279" s="16">
        <v>1</v>
      </c>
      <c r="I279" s="17">
        <v>0</v>
      </c>
      <c r="J279" s="18">
        <v>0</v>
      </c>
      <c r="K279" s="19">
        <v>0.25</v>
      </c>
      <c r="L279" s="20">
        <v>0.29729729729729726</v>
      </c>
      <c r="M279" s="21">
        <v>0.39393939393939392</v>
      </c>
      <c r="N279" s="30">
        <v>72.820326980777935</v>
      </c>
      <c r="O279" s="227">
        <v>27.852063763427548</v>
      </c>
      <c r="P279" s="239"/>
      <c r="Q279" s="239"/>
      <c r="R279" s="306"/>
      <c r="S279" s="306"/>
    </row>
    <row r="280" spans="1:19" ht="28.5" customHeight="1" x14ac:dyDescent="0.35">
      <c r="A280" s="1" t="s">
        <v>575</v>
      </c>
      <c r="B280" s="1" t="s">
        <v>122</v>
      </c>
      <c r="C280" s="222" t="s">
        <v>650</v>
      </c>
      <c r="D280" s="71" t="s">
        <v>918</v>
      </c>
      <c r="E280" s="82" t="s">
        <v>651</v>
      </c>
      <c r="F280" s="623" t="e">
        <f ca="1">_xll.JChemExcel.Functions.JCSYSStructure("4B37F97C05238BF971E8C824C9749DB4")</f>
        <v>#NAME?</v>
      </c>
      <c r="G280" s="282"/>
      <c r="H280" s="35">
        <v>0</v>
      </c>
      <c r="I280" s="36">
        <v>0</v>
      </c>
      <c r="J280" s="37">
        <v>1</v>
      </c>
      <c r="K280" s="19">
        <v>0</v>
      </c>
      <c r="L280" s="20">
        <v>2.7027027027026945E-2</v>
      </c>
      <c r="M280" s="21">
        <v>3.0303030303030311E-2</v>
      </c>
      <c r="N280" s="30">
        <v>119.88118503358046</v>
      </c>
      <c r="O280" s="227">
        <v>11.691884135239931</v>
      </c>
      <c r="P280" s="239"/>
      <c r="Q280" s="239"/>
      <c r="R280" s="306"/>
      <c r="S280" s="306"/>
    </row>
    <row r="281" spans="1:19" ht="28.5" customHeight="1" x14ac:dyDescent="0.35">
      <c r="A281" s="1" t="s">
        <v>575</v>
      </c>
      <c r="B281" s="1" t="s">
        <v>125</v>
      </c>
      <c r="C281" s="222" t="s">
        <v>652</v>
      </c>
      <c r="D281" s="71" t="s">
        <v>938</v>
      </c>
      <c r="E281" s="82" t="s">
        <v>653</v>
      </c>
      <c r="F281" s="623" t="e">
        <f ca="1">_xll.JChemExcel.Functions.JCSYSStructure("FB0641FEC022114D13A881BA6C068F16")</f>
        <v>#NAME?</v>
      </c>
      <c r="G281" s="282"/>
      <c r="H281" s="16">
        <v>0</v>
      </c>
      <c r="I281" s="17">
        <v>0</v>
      </c>
      <c r="J281" s="18">
        <v>0</v>
      </c>
      <c r="K281" s="19">
        <v>0.1</v>
      </c>
      <c r="L281" s="20">
        <v>0.56756756756756754</v>
      </c>
      <c r="M281" s="21">
        <v>0.63636363636363635</v>
      </c>
      <c r="N281" s="30">
        <v>122.40945462213301</v>
      </c>
      <c r="O281" s="227">
        <v>0.93869621320636654</v>
      </c>
      <c r="P281" s="239"/>
      <c r="Q281" s="239"/>
      <c r="R281" s="306"/>
      <c r="S281" s="306"/>
    </row>
    <row r="282" spans="1:19" ht="28.5" customHeight="1" x14ac:dyDescent="0.35">
      <c r="A282" s="4" t="s">
        <v>575</v>
      </c>
      <c r="B282" s="4" t="s">
        <v>128</v>
      </c>
      <c r="C282" s="223" t="s">
        <v>654</v>
      </c>
      <c r="D282" s="71" t="s">
        <v>918</v>
      </c>
      <c r="E282" s="82" t="s">
        <v>655</v>
      </c>
      <c r="F282" s="623" t="e">
        <f ca="1">_xll.JChemExcel.Functions.JCSYSStructure("767AB14C344B644080F8D645CF913839")</f>
        <v>#NAME?</v>
      </c>
      <c r="G282" s="282"/>
      <c r="H282" s="24">
        <v>2</v>
      </c>
      <c r="I282" s="25">
        <v>4</v>
      </c>
      <c r="J282" s="26">
        <v>4</v>
      </c>
      <c r="K282" s="27">
        <v>0.8</v>
      </c>
      <c r="L282" s="28">
        <v>0.94594594594594594</v>
      </c>
      <c r="M282" s="29">
        <v>1</v>
      </c>
      <c r="N282" s="30">
        <v>3.6663539026807213</v>
      </c>
      <c r="O282" s="227">
        <v>3.9981975368440703</v>
      </c>
      <c r="P282" s="239">
        <v>1</v>
      </c>
      <c r="Q282" s="239"/>
      <c r="R282" s="306"/>
      <c r="S282" s="306"/>
    </row>
    <row r="283" spans="1:19" ht="28.5" customHeight="1" x14ac:dyDescent="0.35">
      <c r="A283" s="1" t="s">
        <v>575</v>
      </c>
      <c r="B283" s="1" t="s">
        <v>131</v>
      </c>
      <c r="C283" s="222" t="s">
        <v>656</v>
      </c>
      <c r="D283" s="71" t="s">
        <v>918</v>
      </c>
      <c r="E283" s="82" t="s">
        <v>657</v>
      </c>
      <c r="F283" s="623" t="e">
        <f ca="1">_xll.JChemExcel.Functions.JCSYSStructure("50502D0DCA2CAD8D7B8DC079FDE7095E")</f>
        <v>#NAME?</v>
      </c>
      <c r="G283" s="282"/>
      <c r="H283" s="16">
        <v>4</v>
      </c>
      <c r="I283" s="17">
        <v>4</v>
      </c>
      <c r="J283" s="18">
        <v>4</v>
      </c>
      <c r="K283" s="19">
        <v>0.56756756756756754</v>
      </c>
      <c r="L283" s="20">
        <v>0.77777777777777768</v>
      </c>
      <c r="M283" s="21">
        <v>0.75</v>
      </c>
      <c r="N283" s="188">
        <v>41.052951917224576</v>
      </c>
      <c r="O283" s="228">
        <v>19.45296805211931</v>
      </c>
      <c r="P283" s="239">
        <v>1</v>
      </c>
      <c r="Q283" s="239"/>
      <c r="R283" s="306"/>
      <c r="S283" s="306"/>
    </row>
    <row r="284" spans="1:19" ht="28.5" customHeight="1" x14ac:dyDescent="0.35">
      <c r="A284" s="1" t="s">
        <v>575</v>
      </c>
      <c r="B284" s="1" t="s">
        <v>134</v>
      </c>
      <c r="C284" s="222" t="s">
        <v>658</v>
      </c>
      <c r="D284" s="71" t="s">
        <v>918</v>
      </c>
      <c r="E284" s="82" t="s">
        <v>659</v>
      </c>
      <c r="F284" s="623" t="e">
        <f ca="1">_xll.JChemExcel.Functions.JCSYSStructure("F8B410487D4C9BC952A225C8D8B8E147")</f>
        <v>#NAME?</v>
      </c>
      <c r="G284" s="282"/>
      <c r="H284" s="16">
        <v>0</v>
      </c>
      <c r="I284" s="17">
        <v>0</v>
      </c>
      <c r="J284" s="18">
        <v>0</v>
      </c>
      <c r="K284" s="32">
        <v>0.1</v>
      </c>
      <c r="L284" s="33">
        <v>0.15</v>
      </c>
      <c r="M284" s="34">
        <v>0.11111111111111115</v>
      </c>
      <c r="N284" s="42">
        <v>101.76903008427901</v>
      </c>
      <c r="O284" s="227">
        <v>25.054029192552495</v>
      </c>
      <c r="P284" s="239"/>
      <c r="Q284" s="239"/>
      <c r="R284" s="306"/>
      <c r="S284" s="306"/>
    </row>
    <row r="285" spans="1:19" ht="28.5" customHeight="1" x14ac:dyDescent="0.35">
      <c r="A285" s="1" t="s">
        <v>575</v>
      </c>
      <c r="B285" s="1" t="s">
        <v>137</v>
      </c>
      <c r="C285" s="222" t="s">
        <v>660</v>
      </c>
      <c r="D285" s="71" t="s">
        <v>918</v>
      </c>
      <c r="E285" s="82" t="s">
        <v>661</v>
      </c>
      <c r="F285" s="623" t="e">
        <f ca="1">_xll.JChemExcel.Functions.JCSYSStructure("A1D3CE2E6B8224235AF77B0E6CFA0D99")</f>
        <v>#NAME?</v>
      </c>
      <c r="G285" s="282"/>
      <c r="H285" s="16">
        <v>1</v>
      </c>
      <c r="I285" s="17">
        <v>0</v>
      </c>
      <c r="J285" s="18">
        <v>0</v>
      </c>
      <c r="K285" s="19">
        <v>0.35135135135135132</v>
      </c>
      <c r="L285" s="20">
        <v>0.38888888888888884</v>
      </c>
      <c r="M285" s="21">
        <v>0.6875</v>
      </c>
      <c r="N285" s="30">
        <v>103.01648322627231</v>
      </c>
      <c r="O285" s="227">
        <v>1.1906456453860113</v>
      </c>
      <c r="P285" s="239"/>
      <c r="Q285" s="239"/>
      <c r="R285" s="306"/>
      <c r="S285" s="306"/>
    </row>
    <row r="286" spans="1:19" ht="28.5" customHeight="1" x14ac:dyDescent="0.35">
      <c r="A286" s="1" t="s">
        <v>575</v>
      </c>
      <c r="B286" s="1" t="s">
        <v>140</v>
      </c>
      <c r="C286" s="222" t="s">
        <v>662</v>
      </c>
      <c r="D286" s="71" t="s">
        <v>919</v>
      </c>
      <c r="E286" s="82" t="s">
        <v>663</v>
      </c>
      <c r="F286" s="623" t="e">
        <f ca="1">_xll.JChemExcel.Functions.JCSYSStructure("6CA7D790EE217985C3A0211B97050C7E")</f>
        <v>#NAME?</v>
      </c>
      <c r="G286" s="282"/>
      <c r="H286" s="16">
        <v>0</v>
      </c>
      <c r="I286" s="17">
        <v>0</v>
      </c>
      <c r="J286" s="18">
        <v>0</v>
      </c>
      <c r="K286" s="32">
        <v>0.15</v>
      </c>
      <c r="L286" s="33">
        <v>0.1</v>
      </c>
      <c r="M286" s="34">
        <v>0.33333333333333343</v>
      </c>
      <c r="N286" s="42">
        <v>-3.4583022931561871</v>
      </c>
      <c r="O286" s="227">
        <v>1.9436099053825635</v>
      </c>
      <c r="P286" s="239"/>
      <c r="Q286" s="239">
        <v>1</v>
      </c>
      <c r="R286" s="306"/>
      <c r="S286" s="306"/>
    </row>
    <row r="287" spans="1:19" ht="28.5" customHeight="1" x14ac:dyDescent="0.35">
      <c r="A287" s="1" t="s">
        <v>575</v>
      </c>
      <c r="B287" s="1" t="s">
        <v>143</v>
      </c>
      <c r="C287" s="222" t="s">
        <v>664</v>
      </c>
      <c r="D287" s="71" t="s">
        <v>918</v>
      </c>
      <c r="E287" s="82" t="s">
        <v>665</v>
      </c>
      <c r="F287" s="623" t="e">
        <f ca="1">_xll.JChemExcel.Functions.JCSYSStructure("836C6C9F15D5F2E6689A076D6D3C764D")</f>
        <v>#NAME?</v>
      </c>
      <c r="G287" s="282"/>
      <c r="H287" s="16">
        <v>0</v>
      </c>
      <c r="I287" s="17">
        <v>0</v>
      </c>
      <c r="J287" s="18">
        <v>0</v>
      </c>
      <c r="K287" s="32">
        <v>0</v>
      </c>
      <c r="L287" s="33">
        <v>0.1</v>
      </c>
      <c r="M287" s="34">
        <v>0.16666666666666657</v>
      </c>
      <c r="N287" s="42">
        <v>109.92900916899472</v>
      </c>
      <c r="O287" s="227">
        <v>9.2579303372390314</v>
      </c>
      <c r="P287" s="239"/>
      <c r="Q287" s="239"/>
      <c r="R287" s="306"/>
      <c r="S287" s="306"/>
    </row>
    <row r="288" spans="1:19" ht="28.5" customHeight="1" x14ac:dyDescent="0.35">
      <c r="A288" s="1" t="s">
        <v>575</v>
      </c>
      <c r="B288" s="1" t="s">
        <v>146</v>
      </c>
      <c r="C288" s="222" t="s">
        <v>666</v>
      </c>
      <c r="D288" s="71" t="s">
        <v>920</v>
      </c>
      <c r="E288" s="82" t="s">
        <v>667</v>
      </c>
      <c r="F288" s="623" t="e">
        <f ca="1">_xll.JChemExcel.Functions.JCSYSStructure("1889C61068BBF5A1658071104162EAEC")</f>
        <v>#NAME?</v>
      </c>
      <c r="G288" s="282"/>
      <c r="H288" s="16">
        <v>1</v>
      </c>
      <c r="I288" s="17">
        <v>4</v>
      </c>
      <c r="J288" s="18">
        <v>4</v>
      </c>
      <c r="K288" s="19">
        <v>0.40540540540540543</v>
      </c>
      <c r="L288" s="20">
        <v>0.44444444444444442</v>
      </c>
      <c r="M288" s="21">
        <v>0.6875</v>
      </c>
      <c r="N288" s="319">
        <v>84.753499695678613</v>
      </c>
      <c r="O288" s="227">
        <v>2.4926151012338704</v>
      </c>
      <c r="P288" s="239"/>
      <c r="Q288" s="239"/>
      <c r="R288" s="306"/>
      <c r="S288" s="306"/>
    </row>
    <row r="289" spans="1:19" ht="28.5" customHeight="1" x14ac:dyDescent="0.35">
      <c r="A289" s="1" t="s">
        <v>575</v>
      </c>
      <c r="B289" s="1" t="s">
        <v>149</v>
      </c>
      <c r="C289" s="222" t="s">
        <v>668</v>
      </c>
      <c r="D289" s="71" t="s">
        <v>918</v>
      </c>
      <c r="E289" s="82" t="s">
        <v>669</v>
      </c>
      <c r="F289" s="623" t="e">
        <f ca="1">_xll.JChemExcel.Functions.JCSYSStructure("E42A947A1E14F5FFBE31EC064FEA5ECF")</f>
        <v>#NAME?</v>
      </c>
      <c r="G289" s="282"/>
      <c r="H289" s="16">
        <v>0</v>
      </c>
      <c r="I289" s="17">
        <v>0</v>
      </c>
      <c r="J289" s="18">
        <v>0</v>
      </c>
      <c r="K289" s="19">
        <v>0.29729729729729726</v>
      </c>
      <c r="L289" s="20">
        <v>0.38888888888888884</v>
      </c>
      <c r="M289" s="21">
        <v>0.4375</v>
      </c>
      <c r="N289" s="30">
        <v>99.548453368154043</v>
      </c>
      <c r="O289" s="227">
        <v>31.391641809599282</v>
      </c>
      <c r="P289" s="239"/>
      <c r="Q289" s="239"/>
      <c r="R289" s="306"/>
      <c r="S289" s="306"/>
    </row>
    <row r="290" spans="1:19" ht="28.5" customHeight="1" x14ac:dyDescent="0.35">
      <c r="A290" s="1" t="s">
        <v>575</v>
      </c>
      <c r="B290" s="1" t="s">
        <v>152</v>
      </c>
      <c r="C290" s="222" t="s">
        <v>670</v>
      </c>
      <c r="D290" s="71" t="s">
        <v>919</v>
      </c>
      <c r="E290" s="82" t="s">
        <v>671</v>
      </c>
      <c r="F290" s="623" t="e">
        <f ca="1">_xll.JChemExcel.Functions.JCSYSStructure("E46E6483E9B2C3F5DD4ADCD78BFFD41F")</f>
        <v>#NAME?</v>
      </c>
      <c r="G290" s="282"/>
      <c r="H290" s="16">
        <v>0</v>
      </c>
      <c r="I290" s="17">
        <v>0</v>
      </c>
      <c r="J290" s="18">
        <v>0</v>
      </c>
      <c r="K290" s="32">
        <v>0</v>
      </c>
      <c r="L290" s="33">
        <v>0.1875</v>
      </c>
      <c r="M290" s="34">
        <v>0.375</v>
      </c>
      <c r="N290" s="42">
        <v>-4.2309197484047969</v>
      </c>
      <c r="O290" s="227">
        <v>1.6694533918413983</v>
      </c>
      <c r="P290" s="239"/>
      <c r="Q290" s="239">
        <v>1</v>
      </c>
      <c r="R290" s="306"/>
      <c r="S290" s="306"/>
    </row>
    <row r="291" spans="1:19" ht="28.5" customHeight="1" x14ac:dyDescent="0.35">
      <c r="A291" s="1" t="s">
        <v>575</v>
      </c>
      <c r="B291" s="1" t="s">
        <v>155</v>
      </c>
      <c r="C291" s="222" t="s">
        <v>672</v>
      </c>
      <c r="D291" s="71" t="s">
        <v>919</v>
      </c>
      <c r="E291" s="82" t="s">
        <v>673</v>
      </c>
      <c r="F291" s="623" t="e">
        <f ca="1">_xll.JChemExcel.Functions.JCSYSStructure("6E8544D1FA8297C18593DD28D7067EF6")</f>
        <v>#NAME?</v>
      </c>
      <c r="G291" s="282"/>
      <c r="H291" s="16">
        <v>0</v>
      </c>
      <c r="I291" s="17">
        <v>0</v>
      </c>
      <c r="J291" s="18">
        <v>0</v>
      </c>
      <c r="K291" s="32">
        <v>0</v>
      </c>
      <c r="L291" s="33">
        <v>0</v>
      </c>
      <c r="M291" s="34">
        <v>6.25E-2</v>
      </c>
      <c r="N291" s="42">
        <v>89.72467320378064</v>
      </c>
      <c r="O291" s="227">
        <v>11.114500019829439</v>
      </c>
      <c r="P291" s="239"/>
      <c r="Q291" s="239"/>
      <c r="R291" s="306"/>
      <c r="S291" s="306"/>
    </row>
    <row r="292" spans="1:19" ht="28.5" customHeight="1" x14ac:dyDescent="0.35">
      <c r="A292" s="1" t="s">
        <v>575</v>
      </c>
      <c r="B292" s="1" t="s">
        <v>158</v>
      </c>
      <c r="C292" s="222" t="s">
        <v>674</v>
      </c>
      <c r="D292" s="71" t="s">
        <v>918</v>
      </c>
      <c r="E292" s="82" t="s">
        <v>675</v>
      </c>
      <c r="F292" s="623" t="e">
        <f ca="1">_xll.JChemExcel.Functions.JCSYSStructure("B61BB7CA999CC0C65AD950713FD03E97")</f>
        <v>#NAME?</v>
      </c>
      <c r="G292" s="282"/>
      <c r="H292" s="16">
        <v>0</v>
      </c>
      <c r="I292" s="17">
        <v>0</v>
      </c>
      <c r="J292" s="18">
        <v>0</v>
      </c>
      <c r="K292" s="19">
        <v>8.1081081081080975E-2</v>
      </c>
      <c r="L292" s="20">
        <v>0.38888888888888884</v>
      </c>
      <c r="M292" s="21">
        <v>0.625</v>
      </c>
      <c r="N292" s="30">
        <v>106.77364812848379</v>
      </c>
      <c r="O292" s="227">
        <v>2.9162223883051026</v>
      </c>
      <c r="P292" s="239"/>
      <c r="Q292" s="239"/>
      <c r="R292" s="306"/>
      <c r="S292" s="306"/>
    </row>
    <row r="293" spans="1:19" ht="28.5" customHeight="1" x14ac:dyDescent="0.35">
      <c r="A293" s="1" t="s">
        <v>575</v>
      </c>
      <c r="B293" s="1" t="s">
        <v>161</v>
      </c>
      <c r="C293" s="222" t="s">
        <v>676</v>
      </c>
      <c r="D293" s="71" t="s">
        <v>918</v>
      </c>
      <c r="E293" s="82" t="s">
        <v>677</v>
      </c>
      <c r="F293" s="623" t="e">
        <f ca="1">_xll.JChemExcel.Functions.JCSYSStructure("90D9B350A3046E2AC71C7A54B42264AD")</f>
        <v>#NAME?</v>
      </c>
      <c r="G293" s="282"/>
      <c r="H293" s="16">
        <v>0</v>
      </c>
      <c r="I293" s="17">
        <v>0</v>
      </c>
      <c r="J293" s="18">
        <v>0</v>
      </c>
      <c r="K293" s="19">
        <v>0.13513513513513517</v>
      </c>
      <c r="L293" s="20">
        <v>0.11111111111111115</v>
      </c>
      <c r="M293" s="21">
        <v>0.25</v>
      </c>
      <c r="N293" s="30">
        <v>116.81147550845898</v>
      </c>
      <c r="O293" s="227">
        <v>15.403350759226068</v>
      </c>
      <c r="P293" s="239"/>
      <c r="Q293" s="239"/>
      <c r="R293" s="306"/>
      <c r="S293" s="306"/>
    </row>
    <row r="294" spans="1:19" ht="28.5" customHeight="1" x14ac:dyDescent="0.35">
      <c r="A294" s="1" t="s">
        <v>575</v>
      </c>
      <c r="B294" s="1" t="s">
        <v>164</v>
      </c>
      <c r="C294" s="222" t="s">
        <v>678</v>
      </c>
      <c r="D294" s="71" t="s">
        <v>918</v>
      </c>
      <c r="E294" s="82" t="s">
        <v>679</v>
      </c>
      <c r="F294" s="623" t="e">
        <f ca="1">_xll.JChemExcel.Functions.JCSYSStructure("F15CF1B20A9840516A73271AF7568BD2")</f>
        <v>#NAME?</v>
      </c>
      <c r="G294" s="282"/>
      <c r="H294" s="16">
        <v>0</v>
      </c>
      <c r="I294" s="17">
        <v>1</v>
      </c>
      <c r="J294" s="18">
        <v>2</v>
      </c>
      <c r="K294" s="19">
        <v>0.45945945945945943</v>
      </c>
      <c r="L294" s="20">
        <v>0.77777777777777768</v>
      </c>
      <c r="M294" s="21">
        <v>0.9375</v>
      </c>
      <c r="N294" s="319">
        <v>73.980523432744945</v>
      </c>
      <c r="O294" s="227">
        <v>8.5769516292933634</v>
      </c>
      <c r="P294" s="239"/>
      <c r="Q294" s="239"/>
      <c r="R294" s="306"/>
      <c r="S294" s="306"/>
    </row>
    <row r="295" spans="1:19" ht="28.5" customHeight="1" x14ac:dyDescent="0.35">
      <c r="A295" s="1" t="s">
        <v>575</v>
      </c>
      <c r="B295" s="1" t="s">
        <v>167</v>
      </c>
      <c r="C295" s="222" t="s">
        <v>680</v>
      </c>
      <c r="D295" s="71" t="s">
        <v>918</v>
      </c>
      <c r="E295" s="82" t="s">
        <v>681</v>
      </c>
      <c r="F295" s="623" t="e">
        <f ca="1">_xll.JChemExcel.Functions.JCSYSStructure("B44014B2717E6A2ABF9CD4EDD7E7480B")</f>
        <v>#NAME?</v>
      </c>
      <c r="G295" s="282"/>
      <c r="H295" s="16">
        <v>0</v>
      </c>
      <c r="I295" s="17">
        <v>0</v>
      </c>
      <c r="J295" s="18">
        <v>0</v>
      </c>
      <c r="K295" s="19">
        <v>8.1081081081080975E-2</v>
      </c>
      <c r="L295" s="20">
        <v>0.38888888888888884</v>
      </c>
      <c r="M295" s="21">
        <v>0.625</v>
      </c>
      <c r="N295" s="30">
        <v>69.674836257754748</v>
      </c>
      <c r="O295" s="227">
        <v>10.424696160069365</v>
      </c>
      <c r="P295" s="239"/>
      <c r="Q295" s="239"/>
      <c r="R295" s="306"/>
      <c r="S295" s="306"/>
    </row>
    <row r="296" spans="1:19" ht="28.5" customHeight="1" x14ac:dyDescent="0.35">
      <c r="A296" s="1" t="s">
        <v>575</v>
      </c>
      <c r="B296" s="1" t="s">
        <v>170</v>
      </c>
      <c r="C296" s="222" t="s">
        <v>682</v>
      </c>
      <c r="D296" s="71" t="s">
        <v>918</v>
      </c>
      <c r="E296" s="82" t="s">
        <v>683</v>
      </c>
      <c r="F296" s="623" t="e">
        <f ca="1">_xll.JChemExcel.Functions.JCSYSStructure("E8FCC75B7D33947E56475255573317EB")</f>
        <v>#NAME?</v>
      </c>
      <c r="G296" s="282"/>
      <c r="H296" s="16">
        <v>2</v>
      </c>
      <c r="I296" s="17">
        <v>2</v>
      </c>
      <c r="J296" s="18">
        <v>4</v>
      </c>
      <c r="K296" s="19">
        <v>2.7027027027026945E-2</v>
      </c>
      <c r="L296" s="20">
        <v>0.33333333333333343</v>
      </c>
      <c r="M296" s="21">
        <v>0.5</v>
      </c>
      <c r="N296" s="319">
        <v>113.23797930614728</v>
      </c>
      <c r="O296" s="227">
        <v>9.6390269257025611</v>
      </c>
      <c r="P296" s="239"/>
      <c r="Q296" s="239"/>
      <c r="R296" s="306"/>
      <c r="S296" s="306"/>
    </row>
    <row r="297" spans="1:19" ht="28.5" customHeight="1" x14ac:dyDescent="0.35">
      <c r="A297" s="1" t="s">
        <v>575</v>
      </c>
      <c r="B297" s="1" t="s">
        <v>173</v>
      </c>
      <c r="C297" s="222" t="s">
        <v>684</v>
      </c>
      <c r="D297" s="71" t="s">
        <v>918</v>
      </c>
      <c r="E297" s="82" t="s">
        <v>685</v>
      </c>
      <c r="F297" s="623" t="e">
        <f ca="1">_xll.JChemExcel.Functions.JCSYSStructure("239250AC7C05AD0734EE9DC767053A28")</f>
        <v>#NAME?</v>
      </c>
      <c r="G297" s="282"/>
      <c r="H297" s="16">
        <v>2</v>
      </c>
      <c r="I297" s="17">
        <v>4</v>
      </c>
      <c r="J297" s="18">
        <v>4</v>
      </c>
      <c r="K297" s="19">
        <v>0.78378378378378388</v>
      </c>
      <c r="L297" s="20">
        <v>0.94444444444444442</v>
      </c>
      <c r="M297" s="21">
        <v>1</v>
      </c>
      <c r="N297" s="319">
        <v>60.468654899573949</v>
      </c>
      <c r="O297" s="227">
        <v>12.420910891950827</v>
      </c>
      <c r="P297" s="239"/>
      <c r="Q297" s="239"/>
      <c r="R297" s="306"/>
      <c r="S297" s="306"/>
    </row>
    <row r="298" spans="1:19" ht="28.5" customHeight="1" x14ac:dyDescent="0.35">
      <c r="A298" s="1" t="s">
        <v>575</v>
      </c>
      <c r="B298" s="1" t="s">
        <v>176</v>
      </c>
      <c r="C298" s="222" t="s">
        <v>686</v>
      </c>
      <c r="D298" s="71" t="s">
        <v>918</v>
      </c>
      <c r="E298" s="82" t="s">
        <v>687</v>
      </c>
      <c r="F298" s="623" t="e">
        <f ca="1">_xll.JChemExcel.Functions.JCSYSStructure("F85DD4A39D17C5508BC0C5CA07739298")</f>
        <v>#NAME?</v>
      </c>
      <c r="G298" s="282"/>
      <c r="H298" s="16">
        <v>0</v>
      </c>
      <c r="I298" s="17">
        <v>0</v>
      </c>
      <c r="J298" s="18">
        <v>0</v>
      </c>
      <c r="K298" s="32">
        <v>-0.05</v>
      </c>
      <c r="L298" s="33">
        <v>0.2</v>
      </c>
      <c r="M298" s="34">
        <v>0.55555555555555558</v>
      </c>
      <c r="N298" s="42">
        <v>105.86729194991993</v>
      </c>
      <c r="O298" s="227">
        <v>8.1267535253191472</v>
      </c>
      <c r="P298" s="239"/>
      <c r="Q298" s="239"/>
      <c r="R298" s="306"/>
      <c r="S298" s="306"/>
    </row>
    <row r="299" spans="1:19" ht="28.5" customHeight="1" x14ac:dyDescent="0.35">
      <c r="A299" s="1" t="s">
        <v>575</v>
      </c>
      <c r="B299" s="1" t="s">
        <v>179</v>
      </c>
      <c r="C299" s="222" t="s">
        <v>688</v>
      </c>
      <c r="D299" s="71" t="s">
        <v>925</v>
      </c>
      <c r="E299" s="82" t="s">
        <v>689</v>
      </c>
      <c r="F299" s="623" t="e">
        <f ca="1">_xll.JChemExcel.Functions.JCSYSStructure("2E3940AEC2AA51EAA46708469C85F625")</f>
        <v>#NAME?</v>
      </c>
      <c r="G299" s="282"/>
      <c r="H299" s="16">
        <v>0</v>
      </c>
      <c r="I299" s="17">
        <v>0</v>
      </c>
      <c r="J299" s="18">
        <v>0</v>
      </c>
      <c r="K299" s="32">
        <v>0.11111111111111115</v>
      </c>
      <c r="L299" s="33">
        <v>0.3125</v>
      </c>
      <c r="M299" s="38">
        <v>0.875</v>
      </c>
      <c r="N299" s="184">
        <v>33.691370263139788</v>
      </c>
      <c r="O299" s="227">
        <v>4.1226725539325839</v>
      </c>
      <c r="P299" s="239"/>
      <c r="Q299" s="239"/>
      <c r="R299" s="306"/>
      <c r="S299" s="306"/>
    </row>
    <row r="300" spans="1:19" ht="28.5" customHeight="1" x14ac:dyDescent="0.35">
      <c r="A300" s="1" t="s">
        <v>575</v>
      </c>
      <c r="B300" s="1" t="s">
        <v>182</v>
      </c>
      <c r="C300" s="222" t="s">
        <v>690</v>
      </c>
      <c r="D300" s="71" t="s">
        <v>919</v>
      </c>
      <c r="E300" s="82" t="s">
        <v>691</v>
      </c>
      <c r="F300" s="623" t="e">
        <f ca="1">_xll.JChemExcel.Functions.JCSYSStructure("7248A7E72D7A22E3F0FF732B39417160")</f>
        <v>#NAME?</v>
      </c>
      <c r="G300" s="282"/>
      <c r="H300" s="16">
        <v>0</v>
      </c>
      <c r="I300" s="17">
        <v>0</v>
      </c>
      <c r="J300" s="18">
        <v>0</v>
      </c>
      <c r="K300" s="19">
        <v>0.35135135135135132</v>
      </c>
      <c r="L300" s="20">
        <v>0.33333333333333343</v>
      </c>
      <c r="M300" s="21">
        <v>0.3125</v>
      </c>
      <c r="N300" s="30">
        <v>88.09513273027865</v>
      </c>
      <c r="O300" s="227">
        <v>6.7413200519875414</v>
      </c>
      <c r="P300" s="239"/>
      <c r="Q300" s="239"/>
      <c r="R300" s="306"/>
      <c r="S300" s="306"/>
    </row>
    <row r="301" spans="1:19" ht="28.5" customHeight="1" x14ac:dyDescent="0.35">
      <c r="A301" s="1" t="s">
        <v>575</v>
      </c>
      <c r="B301" s="1" t="s">
        <v>185</v>
      </c>
      <c r="C301" s="222" t="s">
        <v>692</v>
      </c>
      <c r="D301" s="71" t="s">
        <v>919</v>
      </c>
      <c r="E301" s="82" t="s">
        <v>693</v>
      </c>
      <c r="F301" s="623" t="e">
        <f ca="1">_xll.JChemExcel.Functions.JCSYSStructure("E434341851CB6D49098895531885FE3D")</f>
        <v>#NAME?</v>
      </c>
      <c r="G301" s="282"/>
      <c r="H301" s="16">
        <v>1</v>
      </c>
      <c r="I301" s="17">
        <v>0</v>
      </c>
      <c r="J301" s="18">
        <v>0</v>
      </c>
      <c r="K301" s="19">
        <v>0.24324324324324323</v>
      </c>
      <c r="L301" s="20">
        <v>0.27777777777777785</v>
      </c>
      <c r="M301" s="21">
        <v>0.5</v>
      </c>
      <c r="N301" s="30">
        <v>77.191409316152146</v>
      </c>
      <c r="O301" s="227">
        <v>3.21166309151555</v>
      </c>
      <c r="P301" s="239"/>
      <c r="Q301" s="239"/>
      <c r="R301" s="306"/>
      <c r="S301" s="306"/>
    </row>
    <row r="302" spans="1:19" ht="28.5" customHeight="1" x14ac:dyDescent="0.35">
      <c r="A302" s="4" t="s">
        <v>575</v>
      </c>
      <c r="B302" s="4" t="s">
        <v>188</v>
      </c>
      <c r="C302" s="223" t="s">
        <v>694</v>
      </c>
      <c r="D302" s="71" t="s">
        <v>916</v>
      </c>
      <c r="E302" s="82" t="s">
        <v>695</v>
      </c>
      <c r="F302" s="623" t="e">
        <f ca="1">_xll.JChemExcel.Functions.JCSYSStructure("0B3309337DFA8FEA0A9C25D874FD4AC8")</f>
        <v>#NAME?</v>
      </c>
      <c r="G302" s="282"/>
      <c r="H302" s="24">
        <v>3</v>
      </c>
      <c r="I302" s="25">
        <v>3</v>
      </c>
      <c r="J302" s="26">
        <v>3</v>
      </c>
      <c r="K302" s="27">
        <v>1</v>
      </c>
      <c r="L302" s="28">
        <v>1</v>
      </c>
      <c r="M302" s="29">
        <v>1</v>
      </c>
      <c r="N302" s="30">
        <v>5.1995160281516011</v>
      </c>
      <c r="O302" s="227">
        <v>11.568447371305981</v>
      </c>
      <c r="P302" s="239">
        <v>1</v>
      </c>
      <c r="Q302" s="239"/>
      <c r="R302" s="306"/>
      <c r="S302" s="306"/>
    </row>
    <row r="303" spans="1:19" ht="28.5" customHeight="1" x14ac:dyDescent="0.35">
      <c r="A303" s="1" t="s">
        <v>575</v>
      </c>
      <c r="B303" s="1" t="s">
        <v>191</v>
      </c>
      <c r="C303" s="222" t="s">
        <v>696</v>
      </c>
      <c r="D303" s="71" t="s">
        <v>918</v>
      </c>
      <c r="E303" s="82" t="s">
        <v>697</v>
      </c>
      <c r="F303" s="623" t="e">
        <f ca="1">_xll.JChemExcel.Functions.JCSYSStructure("AFCDF9FB919D97FE69711D6CBEED8E59")</f>
        <v>#NAME?</v>
      </c>
      <c r="G303" s="282"/>
      <c r="H303" s="16">
        <v>1</v>
      </c>
      <c r="I303" s="17">
        <v>0</v>
      </c>
      <c r="J303" s="18">
        <v>1</v>
      </c>
      <c r="K303" s="19">
        <v>0.40540540540540543</v>
      </c>
      <c r="L303" s="20">
        <v>0.44444444444444442</v>
      </c>
      <c r="M303" s="21">
        <v>0.5625</v>
      </c>
      <c r="N303" s="30">
        <v>113.88484480047376</v>
      </c>
      <c r="O303" s="227">
        <v>21.709642739442984</v>
      </c>
      <c r="P303" s="239"/>
      <c r="Q303" s="239"/>
      <c r="R303" s="306"/>
      <c r="S303" s="306"/>
    </row>
    <row r="304" spans="1:19" ht="28.5" customHeight="1" x14ac:dyDescent="0.35">
      <c r="A304" s="1" t="s">
        <v>575</v>
      </c>
      <c r="B304" s="1" t="s">
        <v>194</v>
      </c>
      <c r="C304" s="222" t="s">
        <v>698</v>
      </c>
      <c r="D304" s="71" t="s">
        <v>918</v>
      </c>
      <c r="E304" s="82" t="s">
        <v>699</v>
      </c>
      <c r="F304" s="623" t="e">
        <f ca="1">_xll.JChemExcel.Functions.JCSYSStructure("E5C47EA875DFEF877412D14B6853EADE")</f>
        <v>#NAME?</v>
      </c>
      <c r="G304" s="282"/>
      <c r="H304" s="16">
        <v>2</v>
      </c>
      <c r="I304" s="17">
        <v>4</v>
      </c>
      <c r="J304" s="18">
        <v>4</v>
      </c>
      <c r="K304" s="19">
        <v>0.24324324324324323</v>
      </c>
      <c r="L304" s="20">
        <v>0.27777777777777785</v>
      </c>
      <c r="M304" s="21">
        <v>0.75</v>
      </c>
      <c r="N304" s="319">
        <v>95.709068776628129</v>
      </c>
      <c r="O304" s="227">
        <v>16.218148762651914</v>
      </c>
      <c r="P304" s="239"/>
      <c r="Q304" s="239"/>
      <c r="R304" s="306"/>
      <c r="S304" s="306"/>
    </row>
    <row r="305" spans="1:20" ht="28.5" customHeight="1" x14ac:dyDescent="0.35">
      <c r="A305" s="1" t="s">
        <v>575</v>
      </c>
      <c r="B305" s="1" t="s">
        <v>197</v>
      </c>
      <c r="C305" s="222" t="s">
        <v>700</v>
      </c>
      <c r="D305" s="71" t="s">
        <v>918</v>
      </c>
      <c r="E305" s="82" t="s">
        <v>701</v>
      </c>
      <c r="F305" s="623" t="e">
        <f ca="1">_xll.JChemExcel.Functions.JCSYSStructure("061013A2AA7FC2171512C5163E103E8A")</f>
        <v>#NAME?</v>
      </c>
      <c r="H305" s="16">
        <v>0</v>
      </c>
      <c r="I305" s="17">
        <v>0</v>
      </c>
      <c r="J305" s="18">
        <v>2</v>
      </c>
      <c r="K305" s="19">
        <v>0.29729729729729726</v>
      </c>
      <c r="L305" s="20">
        <v>0.44444444444444442</v>
      </c>
      <c r="M305" s="21">
        <v>0.6875</v>
      </c>
      <c r="N305" s="319">
        <v>128.57577601947659</v>
      </c>
      <c r="O305" s="227">
        <v>28.496126803655141</v>
      </c>
      <c r="P305" s="239"/>
      <c r="Q305" s="239"/>
      <c r="R305" s="241"/>
      <c r="S305" s="241"/>
    </row>
    <row r="306" spans="1:20" ht="28.5" customHeight="1" x14ac:dyDescent="0.35">
      <c r="A306" s="1" t="s">
        <v>575</v>
      </c>
      <c r="B306" s="1" t="s">
        <v>200</v>
      </c>
      <c r="C306" s="222" t="s">
        <v>702</v>
      </c>
      <c r="D306" s="71" t="s">
        <v>918</v>
      </c>
      <c r="E306" s="82" t="s">
        <v>703</v>
      </c>
      <c r="F306" s="623" t="e">
        <f ca="1">_xll.JChemExcel.Functions.JCSYSStructure("DC6D6574F55C290C92E5079D13D45CB3")</f>
        <v>#NAME?</v>
      </c>
      <c r="G306" s="282"/>
      <c r="H306" s="16">
        <v>0</v>
      </c>
      <c r="I306" s="17">
        <v>0</v>
      </c>
      <c r="J306" s="18">
        <v>0</v>
      </c>
      <c r="K306" s="19">
        <v>0.13513513513513517</v>
      </c>
      <c r="L306" s="20">
        <v>0.27777777777777785</v>
      </c>
      <c r="M306" s="21">
        <v>0.625</v>
      </c>
      <c r="N306" s="30">
        <v>93.307924743315624</v>
      </c>
      <c r="O306" s="227">
        <v>5.7053164459046295</v>
      </c>
      <c r="P306" s="239"/>
      <c r="Q306" s="239"/>
      <c r="R306" s="306"/>
      <c r="S306" s="306"/>
    </row>
    <row r="307" spans="1:20" ht="28.5" customHeight="1" x14ac:dyDescent="0.35">
      <c r="A307" s="1" t="s">
        <v>575</v>
      </c>
      <c r="B307" s="1" t="s">
        <v>203</v>
      </c>
      <c r="C307" s="222" t="s">
        <v>704</v>
      </c>
      <c r="D307" s="71" t="s">
        <v>918</v>
      </c>
      <c r="E307" s="82" t="s">
        <v>705</v>
      </c>
      <c r="F307" s="623" t="e">
        <f ca="1">_xll.JChemExcel.Functions.JCSYSStructure("6E03937EE1153C7A4A64D1A7E8F4B4ED")</f>
        <v>#NAME?</v>
      </c>
      <c r="G307" s="282"/>
      <c r="H307" s="16">
        <v>1</v>
      </c>
      <c r="I307" s="17">
        <v>1</v>
      </c>
      <c r="J307" s="18">
        <v>4</v>
      </c>
      <c r="K307" s="19">
        <v>0.40540540540540543</v>
      </c>
      <c r="L307" s="20">
        <v>0.66666666666666674</v>
      </c>
      <c r="M307" s="21">
        <v>0.875</v>
      </c>
      <c r="N307" s="319">
        <v>76.110772976262922</v>
      </c>
      <c r="O307" s="227">
        <v>3.7433640681244431</v>
      </c>
      <c r="P307" s="239"/>
      <c r="Q307" s="239"/>
      <c r="R307" s="306"/>
      <c r="S307" s="306"/>
    </row>
    <row r="308" spans="1:20" ht="28.5" customHeight="1" x14ac:dyDescent="0.35">
      <c r="A308" s="1" t="s">
        <v>575</v>
      </c>
      <c r="B308" s="1" t="s">
        <v>206</v>
      </c>
      <c r="C308" s="222" t="s">
        <v>706</v>
      </c>
      <c r="D308" s="71" t="s">
        <v>937</v>
      </c>
      <c r="E308" s="82" t="s">
        <v>707</v>
      </c>
      <c r="F308" s="623" t="e">
        <f ca="1">_xll.JChemExcel.Functions.JCSYSStructure("11DBA37177E675CED1CE4804D81CA538")</f>
        <v>#NAME?</v>
      </c>
      <c r="G308" s="282"/>
      <c r="H308" s="16">
        <v>0</v>
      </c>
      <c r="I308" s="17">
        <v>0</v>
      </c>
      <c r="J308" s="18">
        <v>0</v>
      </c>
      <c r="K308" s="32">
        <v>-0.05</v>
      </c>
      <c r="L308" s="33">
        <v>0.1</v>
      </c>
      <c r="M308" s="34">
        <v>0.16666666666666657</v>
      </c>
      <c r="N308" s="42">
        <v>139.86608997365397</v>
      </c>
      <c r="O308" s="227">
        <v>15.37508720112915</v>
      </c>
      <c r="P308" s="239"/>
      <c r="Q308" s="239"/>
      <c r="R308" s="241">
        <v>1</v>
      </c>
      <c r="S308" s="241"/>
    </row>
    <row r="309" spans="1:20" ht="28.5" customHeight="1" x14ac:dyDescent="0.35">
      <c r="A309" s="1" t="s">
        <v>575</v>
      </c>
      <c r="B309" s="1" t="s">
        <v>209</v>
      </c>
      <c r="C309" s="222" t="s">
        <v>708</v>
      </c>
      <c r="D309" s="71" t="s">
        <v>919</v>
      </c>
      <c r="E309" s="82" t="s">
        <v>709</v>
      </c>
      <c r="F309" s="623" t="e">
        <f ca="1">_xll.JChemExcel.Functions.JCSYSStructure("91036E61F0FB391D66BE9C36F5116062")</f>
        <v>#NAME?</v>
      </c>
      <c r="G309" s="282"/>
      <c r="H309" s="16">
        <v>0</v>
      </c>
      <c r="I309" s="17">
        <v>4</v>
      </c>
      <c r="J309" s="18">
        <v>4</v>
      </c>
      <c r="K309" s="19">
        <v>0.67567567567567566</v>
      </c>
      <c r="L309" s="20">
        <v>0.66666666666666674</v>
      </c>
      <c r="M309" s="21">
        <v>0.875</v>
      </c>
      <c r="N309" s="319">
        <v>111.10772976262933</v>
      </c>
      <c r="O309" s="227">
        <v>0.62762403194262062</v>
      </c>
      <c r="P309" s="239"/>
      <c r="Q309" s="239"/>
      <c r="R309" s="306"/>
      <c r="S309" s="306"/>
    </row>
    <row r="310" spans="1:20" ht="28.5" customHeight="1" x14ac:dyDescent="0.35">
      <c r="A310" s="1" t="s">
        <v>575</v>
      </c>
      <c r="B310" s="1" t="s">
        <v>212</v>
      </c>
      <c r="C310" s="222" t="s">
        <v>710</v>
      </c>
      <c r="D310" s="71" t="s">
        <v>919</v>
      </c>
      <c r="E310" s="82" t="s">
        <v>711</v>
      </c>
      <c r="F310" s="623" t="e">
        <f ca="1">_xll.JChemExcel.Functions.JCSYSStructure("31F3C7F10CC2A19F191CC1E72A9CA983")</f>
        <v>#NAME?</v>
      </c>
      <c r="G310" s="282"/>
      <c r="H310" s="16">
        <v>0</v>
      </c>
      <c r="I310" s="17">
        <v>4</v>
      </c>
      <c r="J310" s="18">
        <v>4</v>
      </c>
      <c r="K310" s="19">
        <v>0.13513513513513517</v>
      </c>
      <c r="L310" s="20">
        <v>0.16666666666666657</v>
      </c>
      <c r="M310" s="21">
        <v>0.5</v>
      </c>
      <c r="N310" s="319">
        <v>66.920267802799742</v>
      </c>
      <c r="O310" s="227">
        <v>16.274964282500047</v>
      </c>
      <c r="P310" s="239"/>
      <c r="Q310" s="239"/>
      <c r="R310" s="306"/>
      <c r="S310" s="306"/>
      <c r="T310" s="313" t="s">
        <v>2022</v>
      </c>
    </row>
    <row r="311" spans="1:20" ht="28.5" customHeight="1" x14ac:dyDescent="0.5">
      <c r="A311" s="1" t="s">
        <v>575</v>
      </c>
      <c r="B311" s="1" t="s">
        <v>215</v>
      </c>
      <c r="C311" s="222" t="s">
        <v>712</v>
      </c>
      <c r="D311" s="71" t="s">
        <v>938</v>
      </c>
      <c r="E311" s="82" t="s">
        <v>713</v>
      </c>
      <c r="F311" s="623" t="e">
        <f ca="1">_xll.JChemExcel.Functions.JCSYSStructure("8E9561D2A71EC9BF97DD5C89CB7669FE")</f>
        <v>#NAME?</v>
      </c>
      <c r="G311" s="282"/>
      <c r="H311" s="16">
        <v>0</v>
      </c>
      <c r="I311" s="17">
        <v>0</v>
      </c>
      <c r="J311" s="18">
        <v>0</v>
      </c>
      <c r="K311" s="32">
        <v>0</v>
      </c>
      <c r="L311" s="33">
        <v>-6.25E-2</v>
      </c>
      <c r="M311" s="34">
        <v>0</v>
      </c>
      <c r="N311" s="42">
        <v>96.161833236091638</v>
      </c>
      <c r="O311" s="227">
        <v>6.7947900894484476</v>
      </c>
      <c r="P311" s="239"/>
      <c r="Q311" s="239"/>
      <c r="R311" s="306"/>
      <c r="S311" s="306"/>
      <c r="T311" s="314" t="s">
        <v>1976</v>
      </c>
    </row>
    <row r="312" spans="1:20" ht="28.5" customHeight="1" x14ac:dyDescent="0.35">
      <c r="A312" s="1" t="s">
        <v>575</v>
      </c>
      <c r="B312" s="1" t="s">
        <v>218</v>
      </c>
      <c r="C312" s="222" t="s">
        <v>714</v>
      </c>
      <c r="D312" s="71" t="s">
        <v>916</v>
      </c>
      <c r="E312" s="82" t="s">
        <v>715</v>
      </c>
      <c r="F312" s="623" t="e">
        <f ca="1">_xll.JChemExcel.Functions.JCSYSStructure("7409F6743BF44D1CF2FF759A374AA45E")</f>
        <v>#NAME?</v>
      </c>
      <c r="G312" s="282"/>
      <c r="H312" s="16">
        <v>2</v>
      </c>
      <c r="I312" s="17">
        <v>0</v>
      </c>
      <c r="J312" s="18">
        <v>4</v>
      </c>
      <c r="K312" s="19">
        <v>0.29729729729729726</v>
      </c>
      <c r="L312" s="20">
        <v>0.5</v>
      </c>
      <c r="M312" s="21">
        <v>0.625</v>
      </c>
      <c r="N312" s="319">
        <v>59.373097991479</v>
      </c>
      <c r="O312" s="227">
        <v>6.5732960831372687</v>
      </c>
      <c r="P312" s="239"/>
      <c r="Q312" s="239"/>
      <c r="R312" s="306"/>
      <c r="S312" s="306"/>
      <c r="T312" s="313" t="s">
        <v>1974</v>
      </c>
    </row>
    <row r="313" spans="1:20" ht="28.5" customHeight="1" x14ac:dyDescent="0.35">
      <c r="A313" s="1" t="s">
        <v>575</v>
      </c>
      <c r="B313" s="1" t="s">
        <v>221</v>
      </c>
      <c r="C313" s="222" t="s">
        <v>716</v>
      </c>
      <c r="D313" s="71" t="s">
        <v>918</v>
      </c>
      <c r="E313" s="82" t="s">
        <v>717</v>
      </c>
      <c r="F313" s="623" t="e">
        <f ca="1">_xll.JChemExcel.Functions.JCSYSStructure("277A7860B4DADB52E63084135AC0BA98")</f>
        <v>#NAME?</v>
      </c>
      <c r="G313" s="305"/>
      <c r="H313" s="16">
        <v>1</v>
      </c>
      <c r="I313" s="17">
        <v>0</v>
      </c>
      <c r="J313" s="18">
        <v>0</v>
      </c>
      <c r="K313" s="19">
        <v>0.13513513513513517</v>
      </c>
      <c r="L313" s="20">
        <v>0.44444444444444442</v>
      </c>
      <c r="M313" s="21">
        <v>0.25</v>
      </c>
      <c r="N313" s="30">
        <v>106.3710452197175</v>
      </c>
      <c r="O313" s="227">
        <v>2.1760055698169416</v>
      </c>
      <c r="P313" s="239"/>
      <c r="Q313" s="239"/>
      <c r="R313" s="306"/>
      <c r="S313" s="306"/>
      <c r="T313" s="313" t="s">
        <v>2030</v>
      </c>
    </row>
    <row r="314" spans="1:20" ht="28.5" customHeight="1" x14ac:dyDescent="0.35">
      <c r="A314" s="4" t="s">
        <v>575</v>
      </c>
      <c r="B314" s="4" t="s">
        <v>224</v>
      </c>
      <c r="C314" s="223" t="s">
        <v>718</v>
      </c>
      <c r="D314" s="71" t="s">
        <v>918</v>
      </c>
      <c r="E314" s="82" t="s">
        <v>719</v>
      </c>
      <c r="F314" s="623" t="e">
        <f ca="1">_xll.JChemExcel.Functions.JCSYSStructure("E55AAA9D2E4835F63BBEE27281E32AE1")</f>
        <v>#NAME?</v>
      </c>
      <c r="G314" s="282"/>
      <c r="H314" s="24">
        <v>2</v>
      </c>
      <c r="I314" s="25">
        <v>4</v>
      </c>
      <c r="J314" s="26">
        <v>4</v>
      </c>
      <c r="K314" s="27">
        <v>0.72972972972972971</v>
      </c>
      <c r="L314" s="28">
        <v>0.77777777777777768</v>
      </c>
      <c r="M314" s="29">
        <v>0.9375</v>
      </c>
      <c r="N314" s="30">
        <v>7.6982970235486459</v>
      </c>
      <c r="O314" s="227">
        <v>8.7180386968552845</v>
      </c>
      <c r="P314" s="239">
        <v>1</v>
      </c>
      <c r="Q314" s="239"/>
      <c r="R314" s="306"/>
      <c r="S314" s="306"/>
    </row>
    <row r="315" spans="1:20" ht="28.5" customHeight="1" x14ac:dyDescent="0.35">
      <c r="A315" s="1" t="s">
        <v>575</v>
      </c>
      <c r="B315" s="1" t="s">
        <v>227</v>
      </c>
      <c r="C315" s="222" t="s">
        <v>720</v>
      </c>
      <c r="D315" s="71" t="s">
        <v>918</v>
      </c>
      <c r="E315" s="82" t="s">
        <v>721</v>
      </c>
      <c r="F315" s="623" t="e">
        <f ca="1">_xll.JChemExcel.Functions.JCSYSStructure("B8D340B1EE5885C6E99BA528441333EF")</f>
        <v>#NAME?</v>
      </c>
      <c r="G315" s="282"/>
      <c r="H315" s="16">
        <v>0</v>
      </c>
      <c r="I315" s="17">
        <v>0</v>
      </c>
      <c r="J315" s="18">
        <v>0</v>
      </c>
      <c r="K315" s="19">
        <v>0.13513513513513517</v>
      </c>
      <c r="L315" s="20">
        <v>0.11111111111111115</v>
      </c>
      <c r="M315" s="21">
        <v>0.3125</v>
      </c>
      <c r="N315" s="30">
        <v>98.384163768960306</v>
      </c>
      <c r="O315" s="227">
        <v>9.1191504989099013</v>
      </c>
      <c r="P315" s="239"/>
      <c r="Q315" s="239"/>
      <c r="R315" s="306"/>
      <c r="S315" s="306"/>
    </row>
    <row r="316" spans="1:20" ht="28.5" customHeight="1" x14ac:dyDescent="0.35">
      <c r="A316" s="1" t="s">
        <v>575</v>
      </c>
      <c r="B316" s="1" t="s">
        <v>230</v>
      </c>
      <c r="C316" s="222" t="s">
        <v>722</v>
      </c>
      <c r="D316" s="71" t="s">
        <v>918</v>
      </c>
      <c r="E316" s="82" t="s">
        <v>723</v>
      </c>
      <c r="F316" s="623" t="e">
        <f ca="1">_xll.JChemExcel.Functions.JCSYSStructure("473F130C5A20B18D39D39BDEA9D88C1D")</f>
        <v>#NAME?</v>
      </c>
      <c r="G316" s="282"/>
      <c r="H316" s="16">
        <v>4</v>
      </c>
      <c r="I316" s="17">
        <v>4</v>
      </c>
      <c r="J316" s="18">
        <v>4</v>
      </c>
      <c r="K316" s="19">
        <v>0.35135135135135132</v>
      </c>
      <c r="L316" s="20">
        <v>0.88888888888888884</v>
      </c>
      <c r="M316" s="21">
        <v>0.75</v>
      </c>
      <c r="N316" s="319">
        <v>97.656725502130257</v>
      </c>
      <c r="O316" s="227">
        <v>22.828072109853778</v>
      </c>
      <c r="P316" s="239"/>
      <c r="Q316" s="239"/>
      <c r="R316" s="306"/>
      <c r="S316" s="306"/>
    </row>
    <row r="317" spans="1:20" ht="28.5" customHeight="1" x14ac:dyDescent="0.35">
      <c r="A317" s="1" t="s">
        <v>575</v>
      </c>
      <c r="B317" s="1" t="s">
        <v>233</v>
      </c>
      <c r="C317" s="222" t="s">
        <v>724</v>
      </c>
      <c r="D317" s="71" t="s">
        <v>918</v>
      </c>
      <c r="E317" s="82" t="s">
        <v>725</v>
      </c>
      <c r="F317" s="623" t="e">
        <f ca="1">_xll.JChemExcel.Functions.JCSYSStructure("575D8753B890635DB2812E86FE5FD5BD")</f>
        <v>#NAME?</v>
      </c>
      <c r="G317" s="282"/>
      <c r="H317" s="16">
        <v>0</v>
      </c>
      <c r="I317" s="17">
        <v>0</v>
      </c>
      <c r="J317" s="18">
        <v>0</v>
      </c>
      <c r="K317" s="19">
        <v>0.1891891891891892</v>
      </c>
      <c r="L317" s="20">
        <v>0.27777777777777785</v>
      </c>
      <c r="M317" s="21">
        <v>0.375</v>
      </c>
      <c r="N317" s="30">
        <v>101.93678469513461</v>
      </c>
      <c r="O317" s="227">
        <v>2.2264762092759431</v>
      </c>
      <c r="P317" s="239"/>
      <c r="Q317" s="239"/>
      <c r="R317" s="306"/>
      <c r="S317" s="306"/>
    </row>
    <row r="318" spans="1:20" ht="28.5" customHeight="1" x14ac:dyDescent="0.35">
      <c r="A318" s="1" t="s">
        <v>575</v>
      </c>
      <c r="B318" s="1" t="s">
        <v>236</v>
      </c>
      <c r="C318" s="222" t="s">
        <v>726</v>
      </c>
      <c r="D318" s="71" t="s">
        <v>920</v>
      </c>
      <c r="E318" s="82" t="s">
        <v>727</v>
      </c>
      <c r="F318" s="623" t="e">
        <f ca="1">_xll.JChemExcel.Functions.JCSYSStructure("4E7D92F159011A80C1752B40C1ECAEE7")</f>
        <v>#NAME?</v>
      </c>
      <c r="G318" s="282"/>
      <c r="H318" s="16">
        <v>1</v>
      </c>
      <c r="I318" s="17">
        <v>2</v>
      </c>
      <c r="J318" s="18">
        <v>3</v>
      </c>
      <c r="K318" s="19">
        <v>0.24324324324324323</v>
      </c>
      <c r="L318" s="20">
        <v>0.33333333333333343</v>
      </c>
      <c r="M318" s="21">
        <v>0.5625</v>
      </c>
      <c r="N318" s="319">
        <v>94.126597687157613</v>
      </c>
      <c r="O318" s="227">
        <v>19.566861270572442</v>
      </c>
      <c r="P318" s="239"/>
      <c r="Q318" s="239"/>
      <c r="R318" s="306"/>
      <c r="S318" s="306"/>
    </row>
    <row r="319" spans="1:20" ht="28.5" customHeight="1" x14ac:dyDescent="0.35">
      <c r="A319" s="1" t="s">
        <v>575</v>
      </c>
      <c r="B319" s="1" t="s">
        <v>239</v>
      </c>
      <c r="C319" s="222" t="s">
        <v>728</v>
      </c>
      <c r="D319" s="71" t="s">
        <v>918</v>
      </c>
      <c r="E319" s="82" t="s">
        <v>729</v>
      </c>
      <c r="F319" s="623" t="e">
        <f ca="1">_xll.JChemExcel.Functions.JCSYSStructure("E5D22D3BC79CE2D15830B3B8120E9F9F")</f>
        <v>#NAME?</v>
      </c>
      <c r="G319" s="282"/>
      <c r="H319" s="16">
        <v>0</v>
      </c>
      <c r="I319" s="17">
        <v>0</v>
      </c>
      <c r="J319" s="18">
        <v>0</v>
      </c>
      <c r="K319" s="19">
        <v>0.13513513513513517</v>
      </c>
      <c r="L319" s="20">
        <v>0.55555555555555558</v>
      </c>
      <c r="M319" s="21">
        <v>0.9375</v>
      </c>
      <c r="N319" s="30">
        <v>103.30137648103192</v>
      </c>
      <c r="O319" s="227">
        <v>5.923868734944616</v>
      </c>
      <c r="P319" s="239"/>
      <c r="Q319" s="239"/>
      <c r="R319" s="306"/>
      <c r="S319" s="306"/>
    </row>
    <row r="320" spans="1:20" ht="28.5" customHeight="1" x14ac:dyDescent="0.35">
      <c r="A320" s="1" t="s">
        <v>575</v>
      </c>
      <c r="B320" s="1" t="s">
        <v>242</v>
      </c>
      <c r="C320" s="222" t="s">
        <v>730</v>
      </c>
      <c r="D320" s="71" t="s">
        <v>938</v>
      </c>
      <c r="E320" s="82" t="s">
        <v>731</v>
      </c>
      <c r="F320" s="623" t="e">
        <f ca="1">_xll.JChemExcel.Functions.JCSYSStructure("5BF359ACEAA47F7D22A341EF237BA2FD")</f>
        <v>#NAME?</v>
      </c>
      <c r="G320" s="282"/>
      <c r="H320" s="16">
        <v>0</v>
      </c>
      <c r="I320" s="17">
        <v>2</v>
      </c>
      <c r="J320" s="18">
        <v>0</v>
      </c>
      <c r="K320" s="32">
        <v>0</v>
      </c>
      <c r="L320" s="33">
        <v>0.05</v>
      </c>
      <c r="M320" s="34">
        <v>0.27777777777777785</v>
      </c>
      <c r="N320" s="42">
        <v>108.87912552249971</v>
      </c>
      <c r="O320" s="227">
        <v>19.05033032616663</v>
      </c>
      <c r="P320" s="239"/>
      <c r="Q320" s="239"/>
      <c r="R320" s="306"/>
      <c r="S320" s="306"/>
    </row>
    <row r="321" spans="1:19" ht="28.5" customHeight="1" x14ac:dyDescent="0.35">
      <c r="A321" s="1" t="s">
        <v>575</v>
      </c>
      <c r="B321" s="1" t="s">
        <v>245</v>
      </c>
      <c r="C321" s="222" t="s">
        <v>732</v>
      </c>
      <c r="D321" s="71" t="s">
        <v>925</v>
      </c>
      <c r="E321" s="82" t="s">
        <v>733</v>
      </c>
      <c r="F321" s="623" t="e">
        <f ca="1">_xll.JChemExcel.Functions.JCSYSStructure("35C473BE11C26D7761A37DC445BA4C4A")</f>
        <v>#NAME?</v>
      </c>
      <c r="G321" s="282"/>
      <c r="H321" s="16">
        <v>0</v>
      </c>
      <c r="I321" s="17">
        <v>2</v>
      </c>
      <c r="J321" s="18">
        <v>1</v>
      </c>
      <c r="K321" s="32">
        <v>0.15</v>
      </c>
      <c r="L321" s="33">
        <v>0.2</v>
      </c>
      <c r="M321" s="34">
        <v>0.11111111111111115</v>
      </c>
      <c r="N321" s="42">
        <v>88.674218547183045</v>
      </c>
      <c r="O321" s="227">
        <v>31.564453279106743</v>
      </c>
      <c r="P321" s="239"/>
      <c r="Q321" s="239"/>
      <c r="R321" s="306"/>
      <c r="S321" s="306"/>
    </row>
    <row r="322" spans="1:19" ht="28.5" customHeight="1" x14ac:dyDescent="0.35">
      <c r="A322" s="1" t="s">
        <v>575</v>
      </c>
      <c r="B322" s="1" t="s">
        <v>248</v>
      </c>
      <c r="C322" s="222" t="s">
        <v>734</v>
      </c>
      <c r="D322" s="71" t="s">
        <v>918</v>
      </c>
      <c r="E322" s="82" t="s">
        <v>735</v>
      </c>
      <c r="F322" s="623" t="e">
        <f ca="1">_xll.JChemExcel.Functions.JCSYSStructure("98494A2F0F6B3A17789DA8B1C42DC61E")</f>
        <v>#NAME?</v>
      </c>
      <c r="G322" s="282"/>
      <c r="H322" s="16">
        <v>0</v>
      </c>
      <c r="I322" s="17">
        <v>0</v>
      </c>
      <c r="J322" s="18">
        <v>1</v>
      </c>
      <c r="K322" s="19">
        <v>0.13513513513513517</v>
      </c>
      <c r="L322" s="20">
        <v>0.11111111111111115</v>
      </c>
      <c r="M322" s="21">
        <v>0</v>
      </c>
      <c r="N322" s="30">
        <v>115.43370970376603</v>
      </c>
      <c r="O322" s="227">
        <v>2.9467354949045839</v>
      </c>
      <c r="P322" s="239"/>
      <c r="Q322" s="239"/>
      <c r="R322" s="306"/>
      <c r="S322" s="306"/>
    </row>
    <row r="323" spans="1:19" ht="28.5" customHeight="1" x14ac:dyDescent="0.35">
      <c r="A323" s="1" t="s">
        <v>736</v>
      </c>
      <c r="B323" s="1" t="s">
        <v>10</v>
      </c>
      <c r="C323" s="222" t="s">
        <v>737</v>
      </c>
      <c r="D323" s="71" t="s">
        <v>918</v>
      </c>
      <c r="E323" s="82" t="s">
        <v>738</v>
      </c>
      <c r="F323" s="623" t="e">
        <f ca="1">_xll.JChemExcel.Functions.JCSYSStructure("918610E10149EFA06DC24938085D7EC7")</f>
        <v>#NAME?</v>
      </c>
      <c r="G323" s="282"/>
      <c r="H323" s="16">
        <v>0</v>
      </c>
      <c r="I323" s="17">
        <v>0</v>
      </c>
      <c r="J323" s="18">
        <v>0</v>
      </c>
      <c r="K323" s="32">
        <v>9.0909090909090912E-2</v>
      </c>
      <c r="L323" s="33">
        <v>0.15</v>
      </c>
      <c r="M323" s="34">
        <v>0.15789473684210525</v>
      </c>
      <c r="N323" s="42">
        <v>71.727773823736229</v>
      </c>
      <c r="O323" s="227">
        <v>5.5119805151064334</v>
      </c>
      <c r="P323" s="239"/>
      <c r="Q323" s="239"/>
      <c r="R323" s="306"/>
      <c r="S323" s="306"/>
    </row>
    <row r="324" spans="1:19" ht="28.5" customHeight="1" x14ac:dyDescent="0.35">
      <c r="A324" s="1" t="s">
        <v>736</v>
      </c>
      <c r="B324" s="1" t="s">
        <v>13</v>
      </c>
      <c r="C324" s="222" t="s">
        <v>739</v>
      </c>
      <c r="D324" s="71" t="s">
        <v>916</v>
      </c>
      <c r="E324" s="82" t="s">
        <v>740</v>
      </c>
      <c r="F324" s="623" t="e">
        <f ca="1">_xll.JChemExcel.Functions.JCSYSStructure("AC0C3A8280A97BA31DAF8149246CE74B")</f>
        <v>#NAME?</v>
      </c>
      <c r="G324" s="282"/>
      <c r="H324" s="16">
        <v>0</v>
      </c>
      <c r="I324" s="17">
        <v>0</v>
      </c>
      <c r="J324" s="18">
        <v>0</v>
      </c>
      <c r="K324" s="19">
        <v>4.5454545454545456E-2</v>
      </c>
      <c r="L324" s="20">
        <v>0.1</v>
      </c>
      <c r="M324" s="21">
        <v>0.15789473684210525</v>
      </c>
      <c r="N324" s="30">
        <v>69.238986615391781</v>
      </c>
      <c r="O324" s="227">
        <v>1.9569101897026502</v>
      </c>
      <c r="P324" s="239"/>
      <c r="Q324" s="239"/>
      <c r="R324" s="306"/>
      <c r="S324" s="306"/>
    </row>
    <row r="325" spans="1:19" ht="28.5" customHeight="1" x14ac:dyDescent="0.35">
      <c r="A325" s="1" t="s">
        <v>736</v>
      </c>
      <c r="B325" s="1" t="s">
        <v>16</v>
      </c>
      <c r="C325" s="222" t="s">
        <v>741</v>
      </c>
      <c r="D325" s="73" t="s">
        <v>915</v>
      </c>
      <c r="E325" s="82" t="s">
        <v>742</v>
      </c>
      <c r="F325" s="623" t="e">
        <f ca="1">_xll.JChemExcel.Functions.JCSYSStructure("0E2CB184CD468034C9C10FF96FAA1C8B")</f>
        <v>#NAME?</v>
      </c>
      <c r="G325" s="282"/>
      <c r="H325" s="16">
        <v>1</v>
      </c>
      <c r="I325" s="17">
        <v>2</v>
      </c>
      <c r="J325" s="18">
        <v>0</v>
      </c>
      <c r="K325" s="19">
        <v>4.5454545454545456E-2</v>
      </c>
      <c r="L325" s="20">
        <v>0.1</v>
      </c>
      <c r="M325" s="21">
        <v>0.15789473684210525</v>
      </c>
      <c r="N325" s="319">
        <v>88.709677419354819</v>
      </c>
      <c r="O325" s="227">
        <v>7.1137977197269953</v>
      </c>
      <c r="P325" s="239"/>
      <c r="Q325" s="239"/>
      <c r="R325" s="306"/>
      <c r="S325" s="306"/>
    </row>
    <row r="326" spans="1:19" ht="28.5" customHeight="1" x14ac:dyDescent="0.35">
      <c r="A326" s="1" t="s">
        <v>736</v>
      </c>
      <c r="B326" s="1" t="s">
        <v>19</v>
      </c>
      <c r="C326" s="222" t="s">
        <v>743</v>
      </c>
      <c r="D326" s="72" t="s">
        <v>993</v>
      </c>
      <c r="E326" s="82" t="s">
        <v>744</v>
      </c>
      <c r="F326" s="623" t="e">
        <f ca="1">_xll.JChemExcel.Functions.JCSYSStructure("5FC6AAB576DEF7E7D158A664A9DBB9FF")</f>
        <v>#NAME?</v>
      </c>
      <c r="G326" s="282" t="s">
        <v>945</v>
      </c>
      <c r="H326" s="16">
        <v>0</v>
      </c>
      <c r="I326" s="17">
        <v>0</v>
      </c>
      <c r="J326" s="18">
        <v>0</v>
      </c>
      <c r="K326" s="19">
        <v>4.5454545454545456E-2</v>
      </c>
      <c r="L326" s="20">
        <v>0.05</v>
      </c>
      <c r="M326" s="21">
        <v>5.2631578947368418E-2</v>
      </c>
      <c r="N326" s="30">
        <v>67.902428091968488</v>
      </c>
      <c r="O326" s="227">
        <v>6.10493010345406</v>
      </c>
      <c r="P326" s="239"/>
      <c r="Q326" s="239"/>
      <c r="R326" s="306"/>
      <c r="S326" s="306"/>
    </row>
    <row r="327" spans="1:19" ht="28.5" customHeight="1" x14ac:dyDescent="0.35">
      <c r="A327" s="1" t="s">
        <v>736</v>
      </c>
      <c r="B327" s="1" t="s">
        <v>23</v>
      </c>
      <c r="C327" s="222" t="s">
        <v>745</v>
      </c>
      <c r="D327" s="72" t="s">
        <v>993</v>
      </c>
      <c r="E327" s="82" t="s">
        <v>746</v>
      </c>
      <c r="F327" s="623" t="e">
        <f ca="1">_xll.JChemExcel.Functions.JCSYSStructure("07A1595B8B5B880D538F4872E475AB6C")</f>
        <v>#NAME?</v>
      </c>
      <c r="G327" s="282" t="s">
        <v>959</v>
      </c>
      <c r="H327" s="16">
        <v>0</v>
      </c>
      <c r="I327" s="17">
        <v>0</v>
      </c>
      <c r="J327" s="18">
        <v>0</v>
      </c>
      <c r="K327" s="32">
        <v>4.5454545454545456E-2</v>
      </c>
      <c r="L327" s="33">
        <v>0.05</v>
      </c>
      <c r="M327" s="34">
        <v>0.10526315789473684</v>
      </c>
      <c r="N327" s="42">
        <v>116.03150921151327</v>
      </c>
      <c r="O327" s="227">
        <v>31.518217293464769</v>
      </c>
      <c r="P327" s="239"/>
      <c r="Q327" s="239"/>
      <c r="R327" s="306"/>
      <c r="S327" s="306"/>
    </row>
    <row r="328" spans="1:19" ht="28.5" customHeight="1" x14ac:dyDescent="0.35">
      <c r="A328" s="1" t="s">
        <v>736</v>
      </c>
      <c r="B328" s="1" t="s">
        <v>26</v>
      </c>
      <c r="C328" s="222" t="s">
        <v>747</v>
      </c>
      <c r="D328" s="71" t="s">
        <v>919</v>
      </c>
      <c r="E328" s="82" t="s">
        <v>748</v>
      </c>
      <c r="F328" s="623" t="e">
        <f ca="1">_xll.JChemExcel.Functions.JCSYSStructure("73AC40A32AD3AD70F984BC312D2A8BE8")</f>
        <v>#NAME?</v>
      </c>
      <c r="G328" s="282"/>
      <c r="H328" s="16">
        <v>3</v>
      </c>
      <c r="I328" s="17">
        <v>4</v>
      </c>
      <c r="J328" s="18">
        <v>4</v>
      </c>
      <c r="K328" s="19">
        <v>0</v>
      </c>
      <c r="L328" s="20">
        <v>0.1</v>
      </c>
      <c r="M328" s="21">
        <v>0.15789473684210525</v>
      </c>
      <c r="N328" s="30">
        <v>80.71037209421911</v>
      </c>
      <c r="O328" s="227">
        <v>0.26702908407627995</v>
      </c>
      <c r="P328" s="239"/>
      <c r="Q328" s="239"/>
      <c r="R328" s="306"/>
      <c r="S328" s="306"/>
    </row>
    <row r="329" spans="1:19" ht="28.5" customHeight="1" x14ac:dyDescent="0.35">
      <c r="A329" s="1" t="s">
        <v>736</v>
      </c>
      <c r="B329" s="1" t="s">
        <v>29</v>
      </c>
      <c r="C329" s="222" t="s">
        <v>749</v>
      </c>
      <c r="D329" s="71" t="s">
        <v>918</v>
      </c>
      <c r="E329" s="82" t="s">
        <v>750</v>
      </c>
      <c r="F329" s="623" t="e">
        <f ca="1">_xll.JChemExcel.Functions.JCSYSStructure("F31275849429BA6FA00843BDB9472942")</f>
        <v>#NAME?</v>
      </c>
      <c r="G329" s="282"/>
      <c r="H329" s="16">
        <v>0</v>
      </c>
      <c r="I329" s="17">
        <v>2</v>
      </c>
      <c r="J329" s="18">
        <v>4</v>
      </c>
      <c r="K329" s="19">
        <v>9.0909090909090912E-2</v>
      </c>
      <c r="L329" s="20">
        <v>0.1</v>
      </c>
      <c r="M329" s="21">
        <v>0.15789473684210525</v>
      </c>
      <c r="N329" s="30">
        <v>66.317158785078675</v>
      </c>
      <c r="O329" s="227">
        <v>6.4049358607236577</v>
      </c>
      <c r="P329" s="239"/>
      <c r="Q329" s="239"/>
      <c r="R329" s="306"/>
      <c r="S329" s="306"/>
    </row>
    <row r="330" spans="1:19" ht="28.5" customHeight="1" x14ac:dyDescent="0.35">
      <c r="A330" s="1" t="s">
        <v>736</v>
      </c>
      <c r="B330" s="1" t="s">
        <v>32</v>
      </c>
      <c r="C330" s="222" t="s">
        <v>751</v>
      </c>
      <c r="D330" s="71" t="s">
        <v>918</v>
      </c>
      <c r="E330" s="82" t="s">
        <v>752</v>
      </c>
      <c r="F330" s="623" t="e">
        <f ca="1">_xll.JChemExcel.Functions.JCSYSStructure("497B2DBFE41A7DB2EEFD1510503BB9B8")</f>
        <v>#NAME?</v>
      </c>
      <c r="G330" s="282"/>
      <c r="H330" s="16">
        <v>0</v>
      </c>
      <c r="I330" s="17">
        <v>0</v>
      </c>
      <c r="J330" s="18">
        <v>0</v>
      </c>
      <c r="K330" s="32">
        <v>9.0909090909090912E-2</v>
      </c>
      <c r="L330" s="33">
        <v>0.05</v>
      </c>
      <c r="M330" s="34">
        <v>0.21052631578947367</v>
      </c>
      <c r="N330" s="42">
        <v>64.158212456821161</v>
      </c>
      <c r="O330" s="227">
        <v>14.039235372433925</v>
      </c>
      <c r="P330" s="239"/>
      <c r="Q330" s="239"/>
      <c r="R330" s="306"/>
      <c r="S330" s="306"/>
    </row>
    <row r="331" spans="1:19" ht="28.5" customHeight="1" x14ac:dyDescent="0.35">
      <c r="A331" s="1" t="s">
        <v>736</v>
      </c>
      <c r="B331" s="1" t="s">
        <v>35</v>
      </c>
      <c r="C331" s="222" t="s">
        <v>753</v>
      </c>
      <c r="D331" s="73" t="s">
        <v>915</v>
      </c>
      <c r="E331" s="82" t="s">
        <v>754</v>
      </c>
      <c r="F331" s="623" t="e">
        <f ca="1">_xll.JChemExcel.Functions.JCSYSStructure("CC3DEA92648DD810BCCB53B9E540C025")</f>
        <v>#NAME?</v>
      </c>
      <c r="G331" s="282"/>
      <c r="H331" s="16">
        <v>2</v>
      </c>
      <c r="I331" s="17">
        <v>4</v>
      </c>
      <c r="J331" s="18">
        <v>4</v>
      </c>
      <c r="K331" s="19">
        <v>4.5454545454545456E-2</v>
      </c>
      <c r="L331" s="20">
        <v>0</v>
      </c>
      <c r="M331" s="21">
        <v>0.10526315789473684</v>
      </c>
      <c r="N331" s="30">
        <v>39.048603600785256</v>
      </c>
      <c r="O331" s="227">
        <v>24.590551771185964</v>
      </c>
      <c r="P331" s="239"/>
      <c r="Q331" s="239"/>
      <c r="R331" s="306"/>
      <c r="S331" s="306"/>
    </row>
    <row r="332" spans="1:19" ht="28.5" customHeight="1" x14ac:dyDescent="0.35">
      <c r="A332" s="1" t="s">
        <v>736</v>
      </c>
      <c r="B332" s="1" t="s">
        <v>38</v>
      </c>
      <c r="C332" s="222" t="s">
        <v>755</v>
      </c>
      <c r="D332" s="71" t="s">
        <v>918</v>
      </c>
      <c r="E332" s="82" t="s">
        <v>756</v>
      </c>
      <c r="F332" s="623" t="e">
        <f ca="1">_xll.JChemExcel.Functions.JCSYSStructure("8AD70CF0B6D0BE5D3C440EE0FC8BF864")</f>
        <v>#NAME?</v>
      </c>
      <c r="G332" s="282"/>
      <c r="H332" s="16">
        <v>0</v>
      </c>
      <c r="I332" s="17">
        <v>0</v>
      </c>
      <c r="J332" s="18">
        <v>0</v>
      </c>
      <c r="K332" s="19">
        <v>0.13636363636363635</v>
      </c>
      <c r="L332" s="20">
        <v>0.1</v>
      </c>
      <c r="M332" s="21">
        <v>0.10526315789473684</v>
      </c>
      <c r="N332" s="30">
        <v>77.488857801485864</v>
      </c>
      <c r="O332" s="227">
        <v>7.4087172087255598E-2</v>
      </c>
      <c r="P332" s="239"/>
      <c r="Q332" s="239"/>
      <c r="R332" s="306"/>
      <c r="S332" s="306"/>
    </row>
    <row r="333" spans="1:19" ht="28.5" customHeight="1" x14ac:dyDescent="0.35">
      <c r="A333" s="1" t="s">
        <v>736</v>
      </c>
      <c r="B333" s="1" t="s">
        <v>41</v>
      </c>
      <c r="C333" s="222" t="s">
        <v>757</v>
      </c>
      <c r="D333" s="71" t="s">
        <v>918</v>
      </c>
      <c r="E333" s="82" t="s">
        <v>758</v>
      </c>
      <c r="F333" s="623" t="e">
        <f ca="1">_xll.JChemExcel.Functions.JCSYSStructure("D1578063EF058175931008DA2A4DBF2A")</f>
        <v>#NAME?</v>
      </c>
      <c r="G333" s="282"/>
      <c r="H333" s="16">
        <v>0</v>
      </c>
      <c r="I333" s="17">
        <v>0</v>
      </c>
      <c r="J333" s="18">
        <v>0</v>
      </c>
      <c r="K333" s="32">
        <v>4.5454545454545456E-2</v>
      </c>
      <c r="L333" s="33">
        <v>0.1</v>
      </c>
      <c r="M333" s="34">
        <v>0.10526315789473684</v>
      </c>
      <c r="N333" s="42">
        <v>71.511847981311107</v>
      </c>
      <c r="O333" s="227">
        <v>10.590241063349419</v>
      </c>
      <c r="P333" s="239"/>
      <c r="Q333" s="239"/>
      <c r="R333" s="306"/>
      <c r="S333" s="306"/>
    </row>
    <row r="334" spans="1:19" ht="28.5" customHeight="1" x14ac:dyDescent="0.35">
      <c r="A334" s="1" t="s">
        <v>736</v>
      </c>
      <c r="B334" s="1" t="s">
        <v>44</v>
      </c>
      <c r="C334" s="222" t="s">
        <v>759</v>
      </c>
      <c r="D334" s="71" t="s">
        <v>916</v>
      </c>
      <c r="E334" s="82" t="s">
        <v>760</v>
      </c>
      <c r="F334" s="623" t="e">
        <f ca="1">_xll.JChemExcel.Functions.JCSYSStructure("5D3BD6BCA684CDFCFF2BA8CB4B0A30AE")</f>
        <v>#NAME?</v>
      </c>
      <c r="G334" s="282"/>
      <c r="H334" s="16">
        <v>0</v>
      </c>
      <c r="I334" s="17">
        <v>0</v>
      </c>
      <c r="J334" s="18">
        <v>0</v>
      </c>
      <c r="K334" s="32">
        <v>9.0909090909090912E-2</v>
      </c>
      <c r="L334" s="33">
        <v>0.05</v>
      </c>
      <c r="M334" s="34">
        <v>0.15789473684210525</v>
      </c>
      <c r="N334" s="42">
        <v>66.971995626494817</v>
      </c>
      <c r="O334" s="227">
        <v>9.5281567889986629</v>
      </c>
      <c r="P334" s="239"/>
      <c r="Q334" s="239"/>
      <c r="R334" s="306"/>
      <c r="S334" s="306"/>
    </row>
    <row r="335" spans="1:19" ht="28.5" customHeight="1" x14ac:dyDescent="0.35">
      <c r="A335" s="1" t="s">
        <v>736</v>
      </c>
      <c r="B335" s="1" t="s">
        <v>47</v>
      </c>
      <c r="C335" s="222" t="s">
        <v>761</v>
      </c>
      <c r="D335" s="71" t="s">
        <v>916</v>
      </c>
      <c r="E335" s="82" t="s">
        <v>762</v>
      </c>
      <c r="F335" s="623" t="e">
        <f ca="1">_xll.JChemExcel.Functions.JCSYSStructure("CEFDD86F4A5404981CCE4375A0AB29AC")</f>
        <v>#NAME?</v>
      </c>
      <c r="G335" s="282"/>
      <c r="H335" s="16">
        <v>0</v>
      </c>
      <c r="I335" s="17">
        <v>0</v>
      </c>
      <c r="J335" s="18">
        <v>0</v>
      </c>
      <c r="K335" s="19">
        <v>0.27272727272727271</v>
      </c>
      <c r="L335" s="20">
        <v>0.4</v>
      </c>
      <c r="M335" s="21">
        <v>0.63157894736842102</v>
      </c>
      <c r="N335" s="30">
        <v>2.2573903216654649</v>
      </c>
      <c r="O335" s="227">
        <v>4.2587198103141937</v>
      </c>
      <c r="P335" s="239"/>
      <c r="Q335" s="239"/>
      <c r="R335" s="306"/>
      <c r="S335" s="306"/>
    </row>
    <row r="336" spans="1:19" ht="28.5" customHeight="1" x14ac:dyDescent="0.35">
      <c r="A336" s="1" t="s">
        <v>736</v>
      </c>
      <c r="B336" s="1" t="s">
        <v>50</v>
      </c>
      <c r="C336" s="222" t="s">
        <v>763</v>
      </c>
      <c r="D336" s="72" t="s">
        <v>917</v>
      </c>
      <c r="E336" s="82" t="s">
        <v>764</v>
      </c>
      <c r="F336" s="623" t="e">
        <f ca="1">_xll.JChemExcel.Functions.JCSYSStructure("207210A590238269A207F906C5412BCD")</f>
        <v>#NAME?</v>
      </c>
      <c r="G336" s="282" t="s">
        <v>961</v>
      </c>
      <c r="H336" s="16">
        <v>0</v>
      </c>
      <c r="I336" s="17">
        <v>0</v>
      </c>
      <c r="J336" s="18">
        <v>0</v>
      </c>
      <c r="K336" s="19">
        <v>0.13636363636363635</v>
      </c>
      <c r="L336" s="20">
        <v>0.15</v>
      </c>
      <c r="M336" s="21">
        <v>0.10526315789473684</v>
      </c>
      <c r="N336" s="30">
        <v>94.950405717360823</v>
      </c>
      <c r="O336" s="227">
        <v>11.657054306131233</v>
      </c>
      <c r="P336" s="239"/>
      <c r="Q336" s="239"/>
      <c r="R336" s="306"/>
      <c r="S336" s="306"/>
    </row>
    <row r="337" spans="1:19" ht="28.5" customHeight="1" x14ac:dyDescent="0.35">
      <c r="A337" s="1" t="s">
        <v>736</v>
      </c>
      <c r="B337" s="1" t="s">
        <v>53</v>
      </c>
      <c r="C337" s="222" t="s">
        <v>765</v>
      </c>
      <c r="D337" s="71" t="s">
        <v>919</v>
      </c>
      <c r="E337" s="82" t="s">
        <v>766</v>
      </c>
      <c r="F337" s="623" t="e">
        <f ca="1">_xll.JChemExcel.Functions.JCSYSStructure("A6112BEECE08A7F937A44B4463EF864F")</f>
        <v>#NAME?</v>
      </c>
      <c r="G337" s="282"/>
      <c r="H337" s="16">
        <v>0</v>
      </c>
      <c r="I337" s="17">
        <v>0</v>
      </c>
      <c r="J337" s="18">
        <v>0</v>
      </c>
      <c r="K337" s="19">
        <v>0.45454545454545453</v>
      </c>
      <c r="L337" s="20">
        <v>0.05</v>
      </c>
      <c r="M337" s="21">
        <v>0.26315789473684209</v>
      </c>
      <c r="N337" s="30">
        <v>67.855153203342653</v>
      </c>
      <c r="O337" s="227">
        <v>17.805697219850671</v>
      </c>
      <c r="P337" s="239"/>
      <c r="Q337" s="239"/>
      <c r="R337" s="306"/>
      <c r="S337" s="306"/>
    </row>
    <row r="338" spans="1:19" ht="28.5" customHeight="1" x14ac:dyDescent="0.35">
      <c r="A338" s="1" t="s">
        <v>736</v>
      </c>
      <c r="B338" s="1" t="s">
        <v>56</v>
      </c>
      <c r="C338" s="222" t="s">
        <v>767</v>
      </c>
      <c r="D338" s="71" t="s">
        <v>919</v>
      </c>
      <c r="E338" s="82" t="s">
        <v>768</v>
      </c>
      <c r="F338" s="623" t="e">
        <f ca="1">_xll.JChemExcel.Functions.JCSYSStructure("BD06163D479370F7EF0BF507F7FF88A5")</f>
        <v>#NAME?</v>
      </c>
      <c r="G338" s="282"/>
      <c r="H338" s="16">
        <v>0</v>
      </c>
      <c r="I338" s="17">
        <v>0</v>
      </c>
      <c r="J338" s="18">
        <v>0</v>
      </c>
      <c r="K338" s="19">
        <v>4.5454545454545456E-2</v>
      </c>
      <c r="L338" s="20">
        <v>0.05</v>
      </c>
      <c r="M338" s="21">
        <v>0.15789473684210525</v>
      </c>
      <c r="N338" s="30">
        <v>85.904838364741863</v>
      </c>
      <c r="O338" s="227">
        <v>33.202928060273329</v>
      </c>
      <c r="P338" s="239"/>
      <c r="Q338" s="239"/>
      <c r="R338" s="306"/>
      <c r="S338" s="306"/>
    </row>
    <row r="339" spans="1:19" ht="28.5" customHeight="1" x14ac:dyDescent="0.35">
      <c r="A339" s="1" t="s">
        <v>736</v>
      </c>
      <c r="B339" s="1" t="s">
        <v>59</v>
      </c>
      <c r="C339" s="222" t="s">
        <v>769</v>
      </c>
      <c r="D339" s="71" t="s">
        <v>918</v>
      </c>
      <c r="E339" s="82" t="s">
        <v>770</v>
      </c>
      <c r="F339" s="623" t="e">
        <f ca="1">_xll.JChemExcel.Functions.JCSYSStructure("9597A9BE8543DDA07131440B91AE0040")</f>
        <v>#NAME?</v>
      </c>
      <c r="G339" s="282"/>
      <c r="H339" s="16">
        <v>0</v>
      </c>
      <c r="I339" s="17">
        <v>0</v>
      </c>
      <c r="J339" s="18">
        <v>0</v>
      </c>
      <c r="K339" s="19">
        <v>0</v>
      </c>
      <c r="L339" s="20">
        <v>0.1</v>
      </c>
      <c r="M339" s="21">
        <v>0.21052631578947367</v>
      </c>
      <c r="N339" s="30">
        <v>57.974000620327949</v>
      </c>
      <c r="O339" s="227">
        <v>9.3577037491041128</v>
      </c>
      <c r="P339" s="239"/>
      <c r="Q339" s="239"/>
      <c r="R339" s="306"/>
      <c r="S339" s="306"/>
    </row>
    <row r="340" spans="1:19" ht="28.5" customHeight="1" x14ac:dyDescent="0.35">
      <c r="A340" s="1" t="s">
        <v>736</v>
      </c>
      <c r="B340" s="1" t="s">
        <v>62</v>
      </c>
      <c r="C340" s="222" t="s">
        <v>771</v>
      </c>
      <c r="D340" s="71" t="s">
        <v>916</v>
      </c>
      <c r="E340" s="82" t="s">
        <v>772</v>
      </c>
      <c r="F340" s="623" t="e">
        <f ca="1">_xll.JChemExcel.Functions.JCSYSStructure("EDFA2ED178A07E86E2752ED84A5CB1A8")</f>
        <v>#NAME?</v>
      </c>
      <c r="G340" s="282"/>
      <c r="H340" s="16">
        <v>0</v>
      </c>
      <c r="I340" s="17">
        <v>0</v>
      </c>
      <c r="J340" s="18">
        <v>0</v>
      </c>
      <c r="K340" s="19">
        <v>0.13636363636363635</v>
      </c>
      <c r="L340" s="20">
        <v>0.05</v>
      </c>
      <c r="M340" s="21">
        <v>5.2631578947368418E-2</v>
      </c>
      <c r="N340" s="30">
        <v>79.304394504792072</v>
      </c>
      <c r="O340" s="227">
        <v>7.3103756829988598</v>
      </c>
      <c r="P340" s="239"/>
      <c r="Q340" s="239"/>
      <c r="R340" s="306"/>
      <c r="S340" s="306"/>
    </row>
    <row r="341" spans="1:19" ht="28.5" customHeight="1" x14ac:dyDescent="0.35">
      <c r="A341" s="1" t="s">
        <v>736</v>
      </c>
      <c r="B341" s="1" t="s">
        <v>65</v>
      </c>
      <c r="C341" s="222" t="s">
        <v>773</v>
      </c>
      <c r="D341" s="71" t="s">
        <v>919</v>
      </c>
      <c r="E341" s="82" t="s">
        <v>774</v>
      </c>
      <c r="F341" s="623" t="e">
        <f ca="1">_xll.JChemExcel.Functions.JCSYSStructure("AB25CEDE5258E40B788D9CF9191F17F3")</f>
        <v>#NAME?</v>
      </c>
      <c r="G341" s="282"/>
      <c r="H341" s="16">
        <v>0</v>
      </c>
      <c r="I341" s="17">
        <v>0</v>
      </c>
      <c r="J341" s="18">
        <v>0</v>
      </c>
      <c r="K341" s="19">
        <v>0.13636363636363635</v>
      </c>
      <c r="L341" s="20">
        <v>0</v>
      </c>
      <c r="M341" s="21">
        <v>5.2631578947368418E-2</v>
      </c>
      <c r="N341" s="30">
        <v>74.054657519975251</v>
      </c>
      <c r="O341" s="227">
        <v>12.681033603746108</v>
      </c>
      <c r="P341" s="239"/>
      <c r="Q341" s="239"/>
      <c r="R341" s="306"/>
      <c r="S341" s="306"/>
    </row>
    <row r="342" spans="1:19" ht="28.5" customHeight="1" x14ac:dyDescent="0.35">
      <c r="A342" s="1" t="s">
        <v>736</v>
      </c>
      <c r="B342" s="1" t="s">
        <v>68</v>
      </c>
      <c r="C342" s="222" t="s">
        <v>775</v>
      </c>
      <c r="D342" s="71" t="s">
        <v>923</v>
      </c>
      <c r="E342" s="82" t="s">
        <v>776</v>
      </c>
      <c r="F342" s="623" t="e">
        <f ca="1">_xll.JChemExcel.Functions.JCSYSStructure("176BA1711D9594D1021477194F1AC69C")</f>
        <v>#NAME?</v>
      </c>
      <c r="G342" s="282"/>
      <c r="H342" s="16">
        <v>3</v>
      </c>
      <c r="I342" s="17">
        <v>4</v>
      </c>
      <c r="J342" s="18">
        <v>4</v>
      </c>
      <c r="K342" s="19">
        <v>0.13636363636363635</v>
      </c>
      <c r="L342" s="20">
        <v>0.1</v>
      </c>
      <c r="M342" s="21">
        <v>0.15789473684210525</v>
      </c>
      <c r="N342" s="30">
        <v>68.096893619405506</v>
      </c>
      <c r="O342" s="227">
        <v>7.4857258324237748</v>
      </c>
      <c r="P342" s="239"/>
      <c r="Q342" s="239"/>
      <c r="R342" s="306"/>
      <c r="S342" s="306"/>
    </row>
    <row r="343" spans="1:19" ht="28.5" customHeight="1" x14ac:dyDescent="0.35">
      <c r="A343" s="1" t="s">
        <v>736</v>
      </c>
      <c r="B343" s="1" t="s">
        <v>71</v>
      </c>
      <c r="C343" s="222" t="s">
        <v>777</v>
      </c>
      <c r="D343" s="71" t="s">
        <v>937</v>
      </c>
      <c r="E343" s="82" t="s">
        <v>778</v>
      </c>
      <c r="F343" s="623" t="e">
        <f ca="1">_xll.JChemExcel.Functions.JCSYSStructure("576CD10A8797676B2BC76E649A444443")</f>
        <v>#NAME?</v>
      </c>
      <c r="G343" s="282"/>
      <c r="H343" s="16">
        <v>0</v>
      </c>
      <c r="I343" s="17">
        <v>1</v>
      </c>
      <c r="J343" s="18">
        <v>0</v>
      </c>
      <c r="K343" s="19">
        <v>0.2</v>
      </c>
      <c r="L343" s="20">
        <v>0.33333333333333343</v>
      </c>
      <c r="M343" s="21">
        <v>0.5</v>
      </c>
      <c r="N343" s="30">
        <v>55.549564633519793</v>
      </c>
      <c r="O343" s="227">
        <v>14.208091071880496</v>
      </c>
      <c r="P343" s="239"/>
      <c r="Q343" s="239"/>
      <c r="R343" s="306"/>
      <c r="S343" s="306"/>
    </row>
    <row r="344" spans="1:19" ht="28.5" customHeight="1" x14ac:dyDescent="0.35">
      <c r="A344" s="1" t="s">
        <v>736</v>
      </c>
      <c r="B344" s="1" t="s">
        <v>74</v>
      </c>
      <c r="C344" s="222" t="s">
        <v>779</v>
      </c>
      <c r="D344" s="71" t="s">
        <v>916</v>
      </c>
      <c r="E344" s="82" t="s">
        <v>780</v>
      </c>
      <c r="F344" s="623" t="e">
        <f ca="1">_xll.JChemExcel.Functions.JCSYSStructure("C4B4E629DA2822C4EE3293F158C1FC43")</f>
        <v>#NAME?</v>
      </c>
      <c r="G344" s="282"/>
      <c r="H344" s="16">
        <v>2</v>
      </c>
      <c r="I344" s="17">
        <v>2</v>
      </c>
      <c r="J344" s="18">
        <v>2</v>
      </c>
      <c r="K344" s="19">
        <v>0.4</v>
      </c>
      <c r="L344" s="20">
        <v>0.5</v>
      </c>
      <c r="M344" s="21">
        <v>0.625</v>
      </c>
      <c r="N344" s="319">
        <v>107.51673767498477</v>
      </c>
      <c r="O344" s="227">
        <v>48.734794010663137</v>
      </c>
      <c r="P344" s="239"/>
      <c r="Q344" s="239"/>
      <c r="R344" s="306"/>
      <c r="S344" s="306"/>
    </row>
    <row r="345" spans="1:19" ht="28.5" customHeight="1" x14ac:dyDescent="0.35">
      <c r="A345" s="1" t="s">
        <v>736</v>
      </c>
      <c r="B345" s="1" t="s">
        <v>77</v>
      </c>
      <c r="C345" s="222" t="s">
        <v>781</v>
      </c>
      <c r="D345" s="71" t="s">
        <v>925</v>
      </c>
      <c r="E345" s="82" t="s">
        <v>782</v>
      </c>
      <c r="F345" s="623" t="e">
        <f ca="1">_xll.JChemExcel.Functions.JCSYSStructure("853AA0916CA5504DD49D550370A53371")</f>
        <v>#NAME?</v>
      </c>
      <c r="G345" s="282"/>
      <c r="H345" s="16">
        <v>2</v>
      </c>
      <c r="I345" s="17">
        <v>4</v>
      </c>
      <c r="J345" s="18">
        <v>4</v>
      </c>
      <c r="K345" s="19">
        <v>0.44999999999999996</v>
      </c>
      <c r="L345" s="20">
        <v>0.77777777777777768</v>
      </c>
      <c r="M345" s="21">
        <v>0.75</v>
      </c>
      <c r="N345" s="319">
        <v>74.589166159464384</v>
      </c>
      <c r="O345" s="227">
        <v>16.023195261562627</v>
      </c>
      <c r="P345" s="239"/>
      <c r="Q345" s="239"/>
      <c r="R345" s="306"/>
      <c r="S345" s="306"/>
    </row>
    <row r="346" spans="1:19" ht="28.5" customHeight="1" x14ac:dyDescent="0.35">
      <c r="A346" s="1" t="s">
        <v>736</v>
      </c>
      <c r="B346" s="1" t="s">
        <v>80</v>
      </c>
      <c r="C346" s="222" t="s">
        <v>783</v>
      </c>
      <c r="D346" s="71" t="s">
        <v>938</v>
      </c>
      <c r="E346" s="82" t="s">
        <v>784</v>
      </c>
      <c r="F346" s="623" t="e">
        <f ca="1">_xll.JChemExcel.Functions.JCSYSStructure("AB6715E78904180FA3D5866876D815BA")</f>
        <v>#NAME?</v>
      </c>
      <c r="G346" s="282"/>
      <c r="H346" s="16">
        <v>0</v>
      </c>
      <c r="I346" s="17">
        <v>0</v>
      </c>
      <c r="J346" s="18">
        <v>0</v>
      </c>
      <c r="K346" s="19">
        <v>0.15</v>
      </c>
      <c r="L346" s="20">
        <v>0.22222222222222215</v>
      </c>
      <c r="M346" s="21">
        <v>0.625</v>
      </c>
      <c r="N346" s="30">
        <v>85.459610027855206</v>
      </c>
      <c r="O346" s="227">
        <v>0.15757254176860769</v>
      </c>
      <c r="P346" s="239"/>
      <c r="Q346" s="239"/>
      <c r="R346" s="306"/>
      <c r="S346" s="306"/>
    </row>
    <row r="347" spans="1:19" ht="28.5" customHeight="1" x14ac:dyDescent="0.35">
      <c r="A347" s="1" t="s">
        <v>736</v>
      </c>
      <c r="B347" s="1" t="s">
        <v>83</v>
      </c>
      <c r="C347" s="222" t="s">
        <v>785</v>
      </c>
      <c r="D347" s="71" t="s">
        <v>919</v>
      </c>
      <c r="E347" s="82" t="s">
        <v>786</v>
      </c>
      <c r="F347" s="623" t="e">
        <f ca="1">_xll.JChemExcel.Functions.JCSYSStructure("0131CACB2BD2287FDFF9F8FCB5727C29")</f>
        <v>#NAME?</v>
      </c>
      <c r="G347" s="282"/>
      <c r="H347" s="16">
        <v>0</v>
      </c>
      <c r="I347" s="17">
        <v>2</v>
      </c>
      <c r="J347" s="18">
        <v>4</v>
      </c>
      <c r="K347" s="19">
        <v>0.75</v>
      </c>
      <c r="L347" s="20">
        <v>0.72222222222222232</v>
      </c>
      <c r="M347" s="21">
        <v>0.75</v>
      </c>
      <c r="N347" s="188">
        <v>46.774193548387082</v>
      </c>
      <c r="O347" s="228">
        <v>12.222661342482013</v>
      </c>
      <c r="P347" s="239">
        <v>1</v>
      </c>
      <c r="Q347" s="239"/>
      <c r="R347" s="306"/>
      <c r="S347" s="306"/>
    </row>
    <row r="348" spans="1:19" ht="28.5" customHeight="1" x14ac:dyDescent="0.35">
      <c r="A348" s="1" t="s">
        <v>736</v>
      </c>
      <c r="B348" s="1" t="s">
        <v>86</v>
      </c>
      <c r="C348" s="222" t="s">
        <v>787</v>
      </c>
      <c r="D348" s="71" t="s">
        <v>920</v>
      </c>
      <c r="E348" s="82" t="s">
        <v>788</v>
      </c>
      <c r="F348" s="623" t="e">
        <f ca="1">_xll.JChemExcel.Functions.JCSYSStructure("16A7DDDFF20C68EC6DFB4AECBF950146")</f>
        <v>#NAME?</v>
      </c>
      <c r="G348" s="282"/>
      <c r="H348" s="16">
        <v>0</v>
      </c>
      <c r="I348" s="17">
        <v>0</v>
      </c>
      <c r="J348" s="18">
        <v>0</v>
      </c>
      <c r="K348" s="19">
        <v>0.2</v>
      </c>
      <c r="L348" s="20">
        <v>0.27777777777777785</v>
      </c>
      <c r="M348" s="21">
        <v>0.5</v>
      </c>
      <c r="N348" s="30">
        <v>168.69434938314228</v>
      </c>
      <c r="O348" s="227">
        <v>5.2107767525009017</v>
      </c>
      <c r="P348" s="239"/>
      <c r="Q348" s="239"/>
      <c r="R348" s="241">
        <v>1</v>
      </c>
      <c r="S348" s="241">
        <v>1</v>
      </c>
    </row>
    <row r="349" spans="1:19" ht="28.5" customHeight="1" x14ac:dyDescent="0.35">
      <c r="A349" s="4" t="s">
        <v>736</v>
      </c>
      <c r="B349" s="4" t="s">
        <v>89</v>
      </c>
      <c r="C349" s="223" t="s">
        <v>789</v>
      </c>
      <c r="D349" s="71" t="s">
        <v>916</v>
      </c>
      <c r="E349" s="82" t="s">
        <v>790</v>
      </c>
      <c r="F349" s="623" t="e">
        <f ca="1">_xll.JChemExcel.Functions.JCSYSStructure("B54EE9E02FE7340F7EACDFDD49F3D48D")</f>
        <v>#NAME?</v>
      </c>
      <c r="G349" s="282"/>
      <c r="H349" s="189">
        <v>4</v>
      </c>
      <c r="I349" s="190">
        <v>4</v>
      </c>
      <c r="J349" s="191">
        <v>4</v>
      </c>
      <c r="K349" s="192">
        <v>0.3</v>
      </c>
      <c r="L349" s="193">
        <v>0.55555555555555558</v>
      </c>
      <c r="M349" s="194">
        <v>1</v>
      </c>
      <c r="N349" s="195">
        <v>17.794911022175349</v>
      </c>
      <c r="O349" s="227">
        <v>15.155671257286153</v>
      </c>
      <c r="P349" s="239">
        <v>1</v>
      </c>
      <c r="Q349" s="239"/>
      <c r="R349" s="306"/>
      <c r="S349" s="306"/>
    </row>
    <row r="350" spans="1:19" ht="28.5" customHeight="1" x14ac:dyDescent="0.35">
      <c r="A350" s="1" t="s">
        <v>736</v>
      </c>
      <c r="B350" s="1" t="s">
        <v>92</v>
      </c>
      <c r="C350" s="222" t="s">
        <v>791</v>
      </c>
      <c r="D350" s="71" t="s">
        <v>918</v>
      </c>
      <c r="E350" s="82" t="s">
        <v>792</v>
      </c>
      <c r="F350" s="623" t="e">
        <f ca="1">_xll.JChemExcel.Functions.JCSYSStructure("909C35677C52D9651BEE7996B640A32A")</f>
        <v>#NAME?</v>
      </c>
      <c r="G350" s="282"/>
      <c r="H350" s="16">
        <v>0</v>
      </c>
      <c r="I350" s="17">
        <v>0</v>
      </c>
      <c r="J350" s="18">
        <v>0</v>
      </c>
      <c r="K350" s="19">
        <v>0.2</v>
      </c>
      <c r="L350" s="20">
        <v>0.16666666666666657</v>
      </c>
      <c r="M350" s="21">
        <v>0.375</v>
      </c>
      <c r="N350" s="30">
        <v>86.679044492850721</v>
      </c>
      <c r="O350" s="227">
        <v>46.641143071570234</v>
      </c>
      <c r="P350" s="239"/>
      <c r="Q350" s="239"/>
      <c r="R350" s="306"/>
      <c r="S350" s="306"/>
    </row>
    <row r="351" spans="1:19" ht="28.5" customHeight="1" x14ac:dyDescent="0.35">
      <c r="A351" s="1" t="s">
        <v>736</v>
      </c>
      <c r="B351" s="1" t="s">
        <v>95</v>
      </c>
      <c r="C351" s="222" t="s">
        <v>793</v>
      </c>
      <c r="D351" s="71" t="s">
        <v>916</v>
      </c>
      <c r="E351" s="82" t="s">
        <v>794</v>
      </c>
      <c r="F351" s="623" t="e">
        <f ca="1">_xll.JChemExcel.Functions.JCSYSStructure("EAE51D4850F42F365B5192C2D0ED2229")</f>
        <v>#NAME?</v>
      </c>
      <c r="G351" s="282"/>
      <c r="H351" s="16">
        <v>0</v>
      </c>
      <c r="I351" s="17">
        <v>0</v>
      </c>
      <c r="J351" s="18">
        <v>0</v>
      </c>
      <c r="K351" s="19">
        <v>0.15</v>
      </c>
      <c r="L351" s="20">
        <v>0.27777777777777785</v>
      </c>
      <c r="M351" s="21">
        <v>0.375</v>
      </c>
      <c r="N351" s="30">
        <v>157.27230479473079</v>
      </c>
      <c r="O351" s="227">
        <v>44.115831894086355</v>
      </c>
      <c r="P351" s="239"/>
      <c r="Q351" s="239"/>
      <c r="R351" s="241">
        <v>1</v>
      </c>
      <c r="S351" s="241"/>
    </row>
    <row r="352" spans="1:19" ht="28.5" customHeight="1" x14ac:dyDescent="0.35">
      <c r="A352" s="1" t="s">
        <v>736</v>
      </c>
      <c r="B352" s="1" t="s">
        <v>98</v>
      </c>
      <c r="C352" s="222" t="s">
        <v>795</v>
      </c>
      <c r="D352" s="71" t="s">
        <v>916</v>
      </c>
      <c r="E352" s="82" t="s">
        <v>796</v>
      </c>
      <c r="F352" s="623" t="e">
        <f ca="1">_xll.JChemExcel.Functions.JCSYSStructure("E71EFB18B88877B75308C34FC64700BF")</f>
        <v>#NAME?</v>
      </c>
      <c r="G352" s="282"/>
      <c r="H352" s="16">
        <v>0</v>
      </c>
      <c r="I352" s="17">
        <v>0</v>
      </c>
      <c r="J352" s="18">
        <v>0</v>
      </c>
      <c r="K352" s="19">
        <v>0.1</v>
      </c>
      <c r="L352" s="20">
        <v>0.11111111111111115</v>
      </c>
      <c r="M352" s="21">
        <v>0.3125</v>
      </c>
      <c r="N352" s="30">
        <v>82.824599525108795</v>
      </c>
      <c r="O352" s="227">
        <v>9.9894939314994389</v>
      </c>
      <c r="P352" s="239"/>
      <c r="Q352" s="239"/>
      <c r="R352" s="306"/>
      <c r="S352" s="306"/>
    </row>
    <row r="353" spans="1:19" ht="28.5" customHeight="1" x14ac:dyDescent="0.35">
      <c r="A353" s="1" t="s">
        <v>736</v>
      </c>
      <c r="B353" s="1" t="s">
        <v>101</v>
      </c>
      <c r="C353" s="222" t="s">
        <v>797</v>
      </c>
      <c r="D353" s="73" t="s">
        <v>915</v>
      </c>
      <c r="E353" s="82" t="s">
        <v>798</v>
      </c>
      <c r="F353" s="623" t="e">
        <f ca="1">_xll.JChemExcel.Functions.JCSYSStructure("62DBB0F43C5B557ED57A8BC42D51C90E")</f>
        <v>#NAME?</v>
      </c>
      <c r="G353" s="282"/>
      <c r="H353" s="16">
        <v>0</v>
      </c>
      <c r="I353" s="17">
        <v>0</v>
      </c>
      <c r="J353" s="18">
        <v>0</v>
      </c>
      <c r="K353" s="19">
        <v>0.15</v>
      </c>
      <c r="L353" s="20">
        <v>0.16666666666666657</v>
      </c>
      <c r="M353" s="21">
        <v>0.1875</v>
      </c>
      <c r="N353" s="30">
        <v>8.8531230182837484E-2</v>
      </c>
      <c r="O353" s="227">
        <v>0.40164705208170481</v>
      </c>
      <c r="P353" s="239"/>
      <c r="Q353" s="239">
        <v>1</v>
      </c>
      <c r="R353" s="306"/>
      <c r="S353" s="306"/>
    </row>
    <row r="354" spans="1:19" ht="28.5" customHeight="1" x14ac:dyDescent="0.35">
      <c r="A354" s="1" t="s">
        <v>736</v>
      </c>
      <c r="B354" s="1" t="s">
        <v>104</v>
      </c>
      <c r="C354" s="222" t="s">
        <v>799</v>
      </c>
      <c r="D354" s="71" t="s">
        <v>916</v>
      </c>
      <c r="E354" s="82" t="s">
        <v>800</v>
      </c>
      <c r="F354" s="623" t="e">
        <f ca="1">_xll.JChemExcel.Functions.JCSYSStructure("D8704E1A317C18B9526A3E8C88DFF8EA")</f>
        <v>#NAME?</v>
      </c>
      <c r="G354" s="282"/>
      <c r="H354" s="16">
        <v>0</v>
      </c>
      <c r="I354" s="17">
        <v>0</v>
      </c>
      <c r="J354" s="18">
        <v>1</v>
      </c>
      <c r="K354" s="19">
        <v>0.25</v>
      </c>
      <c r="L354" s="20">
        <v>0.38888888888888884</v>
      </c>
      <c r="M354" s="21">
        <v>0.5</v>
      </c>
      <c r="N354" s="30">
        <v>91.049963744848782</v>
      </c>
      <c r="O354" s="227">
        <v>18.502099495509508</v>
      </c>
      <c r="P354" s="239"/>
      <c r="Q354" s="239"/>
      <c r="R354" s="306"/>
      <c r="S354" s="306"/>
    </row>
    <row r="355" spans="1:19" ht="28.5" customHeight="1" x14ac:dyDescent="0.35">
      <c r="A355" s="1" t="s">
        <v>736</v>
      </c>
      <c r="B355" s="1" t="s">
        <v>107</v>
      </c>
      <c r="C355" s="222" t="s">
        <v>801</v>
      </c>
      <c r="D355" s="71" t="s">
        <v>918</v>
      </c>
      <c r="E355" s="82" t="s">
        <v>802</v>
      </c>
      <c r="F355" s="623" t="e">
        <f ca="1">_xll.JChemExcel.Functions.JCSYSStructure("5734CA8C2ADD4C52ABE7A99F39C08B83")</f>
        <v>#NAME?</v>
      </c>
      <c r="G355" s="282"/>
      <c r="H355" s="16">
        <v>2</v>
      </c>
      <c r="I355" s="17">
        <v>4</v>
      </c>
      <c r="J355" s="18">
        <v>4</v>
      </c>
      <c r="K355" s="19">
        <v>0.3</v>
      </c>
      <c r="L355" s="20">
        <v>0.38888888888888884</v>
      </c>
      <c r="M355" s="21">
        <v>0.5625</v>
      </c>
      <c r="N355" s="319">
        <v>86.944613511868482</v>
      </c>
      <c r="O355" s="227">
        <v>12.133085716181402</v>
      </c>
      <c r="P355" s="239"/>
      <c r="Q355" s="239"/>
      <c r="R355" s="306"/>
      <c r="S355" s="306"/>
    </row>
    <row r="356" spans="1:19" ht="28.5" customHeight="1" x14ac:dyDescent="0.35">
      <c r="A356" s="1" t="s">
        <v>736</v>
      </c>
      <c r="B356" s="1" t="s">
        <v>110</v>
      </c>
      <c r="C356" s="222" t="s">
        <v>803</v>
      </c>
      <c r="D356" s="71" t="s">
        <v>918</v>
      </c>
      <c r="E356" s="82" t="s">
        <v>804</v>
      </c>
      <c r="F356" s="623" t="e">
        <f ca="1">_xll.JChemExcel.Functions.JCSYSStructure("B703055E4057D96A926E0A87FC7F3669")</f>
        <v>#NAME?</v>
      </c>
      <c r="G356" s="282"/>
      <c r="H356" s="16">
        <v>0</v>
      </c>
      <c r="I356" s="17">
        <v>1</v>
      </c>
      <c r="J356" s="18">
        <v>4</v>
      </c>
      <c r="K356" s="19">
        <v>0.2</v>
      </c>
      <c r="L356" s="20">
        <v>0.55555555555555558</v>
      </c>
      <c r="M356" s="21">
        <v>0.5625</v>
      </c>
      <c r="N356" s="319">
        <v>109.22093730979915</v>
      </c>
      <c r="O356" s="227">
        <v>32.805379447498666</v>
      </c>
      <c r="P356" s="239"/>
      <c r="Q356" s="239"/>
      <c r="R356" s="306"/>
      <c r="S356" s="306"/>
    </row>
    <row r="357" spans="1:19" ht="28.5" customHeight="1" x14ac:dyDescent="0.35">
      <c r="A357" s="1" t="s">
        <v>736</v>
      </c>
      <c r="B357" s="1" t="s">
        <v>113</v>
      </c>
      <c r="C357" s="222" t="s">
        <v>805</v>
      </c>
      <c r="D357" s="72" t="s">
        <v>993</v>
      </c>
      <c r="E357" s="82" t="s">
        <v>806</v>
      </c>
      <c r="F357" s="623" t="e">
        <f ca="1">_xll.JChemExcel.Functions.JCSYSStructure("9EFFDA3933A812E61915E8E06E8AA21D")</f>
        <v>#NAME?</v>
      </c>
      <c r="G357" s="282" t="s">
        <v>939</v>
      </c>
      <c r="H357" s="16">
        <v>0</v>
      </c>
      <c r="I357" s="17">
        <v>0</v>
      </c>
      <c r="J357" s="18">
        <v>0</v>
      </c>
      <c r="K357" s="19">
        <v>0.3</v>
      </c>
      <c r="L357" s="20">
        <v>0.27777777777777785</v>
      </c>
      <c r="M357" s="21">
        <v>0.625</v>
      </c>
      <c r="N357" s="30">
        <v>223.89972144846803</v>
      </c>
      <c r="O357" s="227">
        <v>14.890605197132249</v>
      </c>
      <c r="P357" s="239"/>
      <c r="Q357" s="239"/>
      <c r="R357" s="241">
        <v>1</v>
      </c>
      <c r="S357" s="241">
        <v>1</v>
      </c>
    </row>
    <row r="358" spans="1:19" ht="28.5" customHeight="1" x14ac:dyDescent="0.35">
      <c r="A358" s="1" t="s">
        <v>736</v>
      </c>
      <c r="B358" s="1" t="s">
        <v>116</v>
      </c>
      <c r="C358" s="222" t="s">
        <v>807</v>
      </c>
      <c r="D358" s="71" t="s">
        <v>920</v>
      </c>
      <c r="E358" s="82" t="s">
        <v>808</v>
      </c>
      <c r="F358" s="623" t="e">
        <f ca="1">_xll.JChemExcel.Functions.JCSYSStructure("EFC55E7A288E39239FACC654F6EBFDE1")</f>
        <v>#NAME?</v>
      </c>
      <c r="G358" s="282"/>
      <c r="H358" s="16">
        <v>0</v>
      </c>
      <c r="I358" s="17">
        <v>0</v>
      </c>
      <c r="J358" s="18">
        <v>0</v>
      </c>
      <c r="K358" s="19">
        <v>0.15</v>
      </c>
      <c r="L358" s="20">
        <v>0.27777777777777785</v>
      </c>
      <c r="M358" s="21">
        <v>0.4375</v>
      </c>
      <c r="N358" s="30">
        <v>130.95381440007947</v>
      </c>
      <c r="O358" s="227">
        <v>60.483947604195031</v>
      </c>
      <c r="P358" s="239"/>
      <c r="Q358" s="239"/>
      <c r="R358" s="241">
        <v>1</v>
      </c>
      <c r="S358" s="241"/>
    </row>
    <row r="359" spans="1:19" ht="28.5" customHeight="1" x14ac:dyDescent="0.35">
      <c r="A359" s="1" t="s">
        <v>736</v>
      </c>
      <c r="B359" s="1" t="s">
        <v>119</v>
      </c>
      <c r="C359" s="222" t="s">
        <v>809</v>
      </c>
      <c r="D359" s="71" t="s">
        <v>918</v>
      </c>
      <c r="E359" s="82" t="s">
        <v>810</v>
      </c>
      <c r="F359" s="623" t="e">
        <f ca="1">_xll.JChemExcel.Functions.JCSYSStructure("71AB672CE01DB5E694960ACAC27900D8")</f>
        <v>#NAME?</v>
      </c>
      <c r="G359" s="282"/>
      <c r="H359" s="16">
        <v>0</v>
      </c>
      <c r="I359" s="17">
        <v>0</v>
      </c>
      <c r="J359" s="18">
        <v>0</v>
      </c>
      <c r="K359" s="19">
        <v>0.15</v>
      </c>
      <c r="L359" s="20">
        <v>0.22222222222222215</v>
      </c>
      <c r="M359" s="21">
        <v>0.3125</v>
      </c>
      <c r="N359" s="30">
        <v>125.3673704233166</v>
      </c>
      <c r="O359" s="227">
        <v>46.110805025250194</v>
      </c>
      <c r="P359" s="239"/>
      <c r="Q359" s="239"/>
      <c r="R359" s="306"/>
      <c r="S359" s="306"/>
    </row>
    <row r="360" spans="1:19" ht="28.5" customHeight="1" x14ac:dyDescent="0.35">
      <c r="A360" s="1" t="s">
        <v>736</v>
      </c>
      <c r="B360" s="1" t="s">
        <v>122</v>
      </c>
      <c r="C360" s="222" t="s">
        <v>811</v>
      </c>
      <c r="D360" s="71" t="s">
        <v>918</v>
      </c>
      <c r="E360" s="82" t="s">
        <v>812</v>
      </c>
      <c r="F360" s="623" t="e">
        <f ca="1">_xll.JChemExcel.Functions.JCSYSStructure("7EF9A1714168E2AAE92798A6B075E36A")</f>
        <v>#NAME?</v>
      </c>
      <c r="G360" s="282"/>
      <c r="H360" s="16">
        <v>0</v>
      </c>
      <c r="I360" s="17">
        <v>0</v>
      </c>
      <c r="J360" s="18">
        <v>0</v>
      </c>
      <c r="K360" s="19">
        <v>0.1</v>
      </c>
      <c r="L360" s="20">
        <v>0.11111111111111115</v>
      </c>
      <c r="M360" s="21">
        <v>0.25</v>
      </c>
      <c r="N360" s="30">
        <v>103.59909099812609</v>
      </c>
      <c r="O360" s="227">
        <v>28.873357794042466</v>
      </c>
      <c r="P360" s="239"/>
      <c r="Q360" s="239"/>
      <c r="R360" s="306"/>
      <c r="S360" s="306"/>
    </row>
    <row r="361" spans="1:19" ht="28.5" customHeight="1" x14ac:dyDescent="0.35">
      <c r="A361" s="1" t="s">
        <v>736</v>
      </c>
      <c r="B361" s="1" t="s">
        <v>125</v>
      </c>
      <c r="C361" s="222" t="s">
        <v>813</v>
      </c>
      <c r="D361" s="71" t="s">
        <v>916</v>
      </c>
      <c r="E361" s="82" t="s">
        <v>814</v>
      </c>
      <c r="F361" s="623" t="e">
        <f ca="1">_xll.JChemExcel.Functions.JCSYSStructure("811F19F2A9E3B3945D8F84656E8E866F")</f>
        <v>#NAME?</v>
      </c>
      <c r="G361" s="282"/>
      <c r="H361" s="16">
        <v>0</v>
      </c>
      <c r="I361" s="17">
        <v>0</v>
      </c>
      <c r="J361" s="18">
        <v>0</v>
      </c>
      <c r="K361" s="19">
        <v>0.1</v>
      </c>
      <c r="L361" s="20">
        <v>0.11111111111111115</v>
      </c>
      <c r="M361" s="21">
        <v>0.125</v>
      </c>
      <c r="N361" s="30">
        <v>113.38585661210287</v>
      </c>
      <c r="O361" s="227">
        <v>30.671668891384943</v>
      </c>
      <c r="P361" s="239"/>
      <c r="Q361" s="239"/>
      <c r="R361" s="306"/>
      <c r="S361" s="306"/>
    </row>
    <row r="362" spans="1:19" ht="28.5" customHeight="1" x14ac:dyDescent="0.35">
      <c r="A362" s="1" t="s">
        <v>736</v>
      </c>
      <c r="B362" s="1" t="s">
        <v>128</v>
      </c>
      <c r="C362" s="222" t="s">
        <v>815</v>
      </c>
      <c r="D362" s="71" t="s">
        <v>916</v>
      </c>
      <c r="E362" s="82" t="s">
        <v>816</v>
      </c>
      <c r="F362" s="623" t="e">
        <f ca="1">_xll.JChemExcel.Functions.JCSYSStructure("B32210978782B9F7AFC458B76A300814")</f>
        <v>#NAME?</v>
      </c>
      <c r="G362" s="282"/>
      <c r="H362" s="16">
        <v>0</v>
      </c>
      <c r="I362" s="17">
        <v>0</v>
      </c>
      <c r="J362" s="18">
        <v>0</v>
      </c>
      <c r="K362" s="19">
        <v>0.2</v>
      </c>
      <c r="L362" s="20">
        <v>0.11111111111111115</v>
      </c>
      <c r="M362" s="21">
        <v>0.125</v>
      </c>
      <c r="N362" s="30">
        <v>93.967972114668839</v>
      </c>
      <c r="O362" s="227">
        <v>21.325482807615181</v>
      </c>
      <c r="P362" s="239"/>
      <c r="Q362" s="239"/>
      <c r="R362" s="306"/>
      <c r="S362" s="306"/>
    </row>
    <row r="363" spans="1:19" ht="28.5" customHeight="1" x14ac:dyDescent="0.35">
      <c r="A363" s="1" t="s">
        <v>736</v>
      </c>
      <c r="B363" s="1" t="s">
        <v>131</v>
      </c>
      <c r="C363" s="222" t="s">
        <v>817</v>
      </c>
      <c r="D363" s="71" t="s">
        <v>918</v>
      </c>
      <c r="E363" s="82" t="s">
        <v>818</v>
      </c>
      <c r="F363" s="623" t="e">
        <f ca="1">_xll.JChemExcel.Functions.JCSYSStructure("687A011887DB25FB4FDDF26C885F9C5D")</f>
        <v>#NAME?</v>
      </c>
      <c r="G363" s="282"/>
      <c r="H363" s="16">
        <v>0</v>
      </c>
      <c r="I363" s="17">
        <v>0</v>
      </c>
      <c r="J363" s="18">
        <v>0</v>
      </c>
      <c r="K363" s="19">
        <v>0.2</v>
      </c>
      <c r="L363" s="20">
        <v>0.22222222222222215</v>
      </c>
      <c r="M363" s="21">
        <v>0.375</v>
      </c>
      <c r="N363" s="30">
        <v>90.228408195997488</v>
      </c>
      <c r="O363" s="227">
        <v>2.2874125389434874</v>
      </c>
      <c r="P363" s="239"/>
      <c r="Q363" s="239"/>
      <c r="R363" s="306"/>
      <c r="S363" s="306"/>
    </row>
    <row r="364" spans="1:19" ht="28.5" customHeight="1" x14ac:dyDescent="0.35">
      <c r="A364" s="1" t="s">
        <v>736</v>
      </c>
      <c r="B364" s="1" t="s">
        <v>134</v>
      </c>
      <c r="C364" s="222" t="s">
        <v>819</v>
      </c>
      <c r="D364" s="72" t="s">
        <v>993</v>
      </c>
      <c r="E364" s="82" t="s">
        <v>820</v>
      </c>
      <c r="F364" s="623" t="e">
        <f ca="1">_xll.JChemExcel.Functions.JCSYSStructure("0EEE215415B35E90C2F31C68D8053C12")</f>
        <v>#NAME?</v>
      </c>
      <c r="G364" s="282" t="s">
        <v>947</v>
      </c>
      <c r="H364" s="16">
        <v>0</v>
      </c>
      <c r="I364" s="17">
        <v>0</v>
      </c>
      <c r="J364" s="18">
        <v>0</v>
      </c>
      <c r="K364" s="19">
        <v>0.15</v>
      </c>
      <c r="L364" s="20">
        <v>0.22222222222222215</v>
      </c>
      <c r="M364" s="21">
        <v>0.375</v>
      </c>
      <c r="N364" s="30">
        <v>95.522834354754195</v>
      </c>
      <c r="O364" s="227">
        <v>41.084752288486499</v>
      </c>
      <c r="P364" s="239"/>
      <c r="Q364" s="239"/>
      <c r="R364" s="306"/>
      <c r="S364" s="306"/>
    </row>
    <row r="365" spans="1:19" ht="28.5" customHeight="1" x14ac:dyDescent="0.35">
      <c r="A365" s="1" t="s">
        <v>736</v>
      </c>
      <c r="B365" s="1" t="s">
        <v>137</v>
      </c>
      <c r="C365" s="222" t="s">
        <v>821</v>
      </c>
      <c r="D365" s="71" t="s">
        <v>918</v>
      </c>
      <c r="E365" s="82" t="s">
        <v>822</v>
      </c>
      <c r="F365" s="623" t="e">
        <f ca="1">_xll.JChemExcel.Functions.JCSYSStructure("09F1665D2BC5546A9C1241F7BABB5083")</f>
        <v>#NAME?</v>
      </c>
      <c r="G365" s="282"/>
      <c r="H365" s="16">
        <v>0</v>
      </c>
      <c r="I365" s="17">
        <v>0</v>
      </c>
      <c r="J365" s="18">
        <v>0</v>
      </c>
      <c r="K365" s="19">
        <v>0.15</v>
      </c>
      <c r="L365" s="20">
        <v>0.22222222222222215</v>
      </c>
      <c r="M365" s="21">
        <v>0.4375</v>
      </c>
      <c r="N365" s="30">
        <v>146.48690630982304</v>
      </c>
      <c r="O365" s="227">
        <v>47.679015027553959</v>
      </c>
      <c r="P365" s="239"/>
      <c r="Q365" s="239"/>
      <c r="R365" s="241">
        <v>1</v>
      </c>
      <c r="S365" s="241"/>
    </row>
    <row r="366" spans="1:19" ht="28.5" customHeight="1" x14ac:dyDescent="0.35">
      <c r="A366" s="1" t="s">
        <v>736</v>
      </c>
      <c r="B366" s="1" t="s">
        <v>140</v>
      </c>
      <c r="C366" s="222" t="s">
        <v>823</v>
      </c>
      <c r="D366" s="71" t="s">
        <v>918</v>
      </c>
      <c r="E366" s="82" t="s">
        <v>824</v>
      </c>
      <c r="F366" s="623" t="e">
        <f ca="1">_xll.JChemExcel.Functions.JCSYSStructure("1D1BD4C4B1C54225D98AE03396588AE7")</f>
        <v>#NAME?</v>
      </c>
      <c r="G366" s="282"/>
      <c r="H366" s="16">
        <v>0</v>
      </c>
      <c r="I366" s="17">
        <v>0</v>
      </c>
      <c r="J366" s="18">
        <v>0</v>
      </c>
      <c r="K366" s="19">
        <v>0.15</v>
      </c>
      <c r="L366" s="20">
        <v>0.16666666666666657</v>
      </c>
      <c r="M366" s="21">
        <v>0.3125</v>
      </c>
      <c r="N366" s="30">
        <v>155.96570748669245</v>
      </c>
      <c r="O366" s="227">
        <v>18.635078087791971</v>
      </c>
      <c r="P366" s="239"/>
      <c r="Q366" s="239"/>
      <c r="R366" s="241">
        <v>1</v>
      </c>
      <c r="S366" s="241"/>
    </row>
    <row r="367" spans="1:19" ht="28.5" customHeight="1" x14ac:dyDescent="0.35">
      <c r="A367" s="1" t="s">
        <v>736</v>
      </c>
      <c r="B367" s="1" t="s">
        <v>143</v>
      </c>
      <c r="C367" s="222" t="s">
        <v>825</v>
      </c>
      <c r="D367" s="71" t="s">
        <v>919</v>
      </c>
      <c r="E367" s="82" t="s">
        <v>826</v>
      </c>
      <c r="F367" s="623" t="e">
        <f ca="1">_xll.JChemExcel.Functions.JCSYSStructure("019CF6DF68493F37F363DB99516879A2")</f>
        <v>#NAME?</v>
      </c>
      <c r="G367" s="282"/>
      <c r="H367" s="16">
        <v>0</v>
      </c>
      <c r="I367" s="17">
        <v>0</v>
      </c>
      <c r="J367" s="18">
        <v>1</v>
      </c>
      <c r="K367" s="19">
        <v>0.2</v>
      </c>
      <c r="L367" s="20">
        <v>0.22222222222222215</v>
      </c>
      <c r="M367" s="21">
        <v>0.3125</v>
      </c>
      <c r="N367" s="30">
        <v>77.46598562366961</v>
      </c>
      <c r="O367" s="227">
        <v>8.1726242602696253</v>
      </c>
      <c r="P367" s="239"/>
      <c r="Q367" s="239"/>
      <c r="R367" s="306"/>
      <c r="S367" s="306"/>
    </row>
    <row r="368" spans="1:19" ht="28.5" customHeight="1" x14ac:dyDescent="0.35">
      <c r="A368" s="1" t="s">
        <v>736</v>
      </c>
      <c r="B368" s="1" t="s">
        <v>146</v>
      </c>
      <c r="C368" s="222" t="s">
        <v>827</v>
      </c>
      <c r="D368" s="71" t="s">
        <v>918</v>
      </c>
      <c r="E368" s="82" t="s">
        <v>828</v>
      </c>
      <c r="F368" s="623" t="e">
        <f ca="1">_xll.JChemExcel.Functions.JCSYSStructure("164F37A522971198E4770FCFF99E2F1B")</f>
        <v>#NAME?</v>
      </c>
      <c r="G368" s="282"/>
      <c r="H368" s="16">
        <v>0</v>
      </c>
      <c r="I368" s="17">
        <v>0</v>
      </c>
      <c r="J368" s="18">
        <v>0</v>
      </c>
      <c r="K368" s="19">
        <v>0.1</v>
      </c>
      <c r="L368" s="20">
        <v>0.11111111111111115</v>
      </c>
      <c r="M368" s="21">
        <v>0.1875</v>
      </c>
      <c r="N368" s="30">
        <v>130.90867937472012</v>
      </c>
      <c r="O368" s="227">
        <v>73.817137481046416</v>
      </c>
      <c r="P368" s="239"/>
      <c r="Q368" s="239"/>
      <c r="R368" s="241">
        <v>1</v>
      </c>
      <c r="S368" s="241"/>
    </row>
    <row r="369" spans="1:20" ht="28.5" customHeight="1" x14ac:dyDescent="0.35">
      <c r="A369" s="1" t="s">
        <v>736</v>
      </c>
      <c r="B369" s="1" t="s">
        <v>149</v>
      </c>
      <c r="C369" s="222" t="s">
        <v>829</v>
      </c>
      <c r="D369" s="71" t="s">
        <v>916</v>
      </c>
      <c r="E369" s="82" t="s">
        <v>830</v>
      </c>
      <c r="F369" s="623" t="e">
        <f ca="1">_xll.JChemExcel.Functions.JCSYSStructure("78CD5B893A95E0163CE3635A6D1FA0A7")</f>
        <v>#NAME?</v>
      </c>
      <c r="G369" s="282"/>
      <c r="H369" s="16">
        <v>0</v>
      </c>
      <c r="I369" s="17">
        <v>0</v>
      </c>
      <c r="J369" s="18">
        <v>2</v>
      </c>
      <c r="K369" s="19">
        <v>0.05</v>
      </c>
      <c r="L369" s="20">
        <v>0.11111111111111115</v>
      </c>
      <c r="M369" s="21">
        <v>0.1875</v>
      </c>
      <c r="N369" s="30">
        <v>126.6322954853531</v>
      </c>
      <c r="O369" s="227">
        <v>53.168170388366079</v>
      </c>
      <c r="P369" s="239"/>
      <c r="Q369" s="239"/>
      <c r="R369" s="306"/>
      <c r="S369" s="306"/>
    </row>
    <row r="370" spans="1:20" ht="28.5" customHeight="1" x14ac:dyDescent="0.35">
      <c r="A370" s="1" t="s">
        <v>736</v>
      </c>
      <c r="B370" s="1" t="s">
        <v>152</v>
      </c>
      <c r="C370" s="222" t="s">
        <v>831</v>
      </c>
      <c r="D370" s="71" t="s">
        <v>918</v>
      </c>
      <c r="E370" s="82" t="s">
        <v>832</v>
      </c>
      <c r="F370" s="623" t="e">
        <f ca="1">_xll.JChemExcel.Functions.JCSYSStructure("F26E1AA01A4DDACAEC181BFC205F35D8")</f>
        <v>#NAME?</v>
      </c>
      <c r="G370" s="282"/>
      <c r="H370" s="16">
        <v>0</v>
      </c>
      <c r="I370" s="17">
        <v>0</v>
      </c>
      <c r="J370" s="18">
        <v>0</v>
      </c>
      <c r="K370" s="19">
        <v>0.15</v>
      </c>
      <c r="L370" s="20">
        <v>0.16666666666666657</v>
      </c>
      <c r="M370" s="21">
        <v>0.3125</v>
      </c>
      <c r="N370" s="30">
        <v>96.020449123968859</v>
      </c>
      <c r="O370" s="227">
        <v>12.736520166671024</v>
      </c>
      <c r="P370" s="239"/>
      <c r="Q370" s="239"/>
      <c r="R370" s="306"/>
      <c r="S370" s="306"/>
    </row>
    <row r="371" spans="1:20" ht="28.5" customHeight="1" x14ac:dyDescent="0.35">
      <c r="A371" s="1" t="s">
        <v>736</v>
      </c>
      <c r="B371" s="1" t="s">
        <v>155</v>
      </c>
      <c r="C371" s="222" t="s">
        <v>833</v>
      </c>
      <c r="D371" s="71" t="s">
        <v>916</v>
      </c>
      <c r="E371" s="82" t="s">
        <v>834</v>
      </c>
      <c r="F371" s="623" t="e">
        <f ca="1">_xll.JChemExcel.Functions.JCSYSStructure("8FAF8505E5087DAA3184C1C45B414A62")</f>
        <v>#NAME?</v>
      </c>
      <c r="G371" s="282"/>
      <c r="H371" s="16">
        <v>0</v>
      </c>
      <c r="I371" s="17">
        <v>0</v>
      </c>
      <c r="J371" s="18">
        <v>0</v>
      </c>
      <c r="K371" s="19">
        <v>0.1</v>
      </c>
      <c r="L371" s="20">
        <v>0.16666666666666657</v>
      </c>
      <c r="M371" s="21">
        <v>0.25</v>
      </c>
      <c r="N371" s="30">
        <v>72.863996442700142</v>
      </c>
      <c r="O371" s="227">
        <v>6.782391612075358</v>
      </c>
      <c r="P371" s="239"/>
      <c r="Q371" s="239"/>
      <c r="R371" s="306"/>
      <c r="S371" s="306"/>
    </row>
    <row r="372" spans="1:20" ht="28.5" customHeight="1" x14ac:dyDescent="0.35">
      <c r="A372" s="4" t="s">
        <v>736</v>
      </c>
      <c r="B372" s="4" t="s">
        <v>158</v>
      </c>
      <c r="C372" s="223" t="s">
        <v>835</v>
      </c>
      <c r="D372" s="71" t="s">
        <v>916</v>
      </c>
      <c r="E372" s="82" t="s">
        <v>836</v>
      </c>
      <c r="F372" s="623" t="e">
        <f ca="1">_xll.JChemExcel.Functions.JCSYSStructure("6EA3D4F351E7179277314EA872EED8AA")</f>
        <v>#NAME?</v>
      </c>
      <c r="G372" s="282"/>
      <c r="H372" s="24">
        <v>4</v>
      </c>
      <c r="I372" s="25">
        <v>4</v>
      </c>
      <c r="J372" s="26">
        <v>4</v>
      </c>
      <c r="K372" s="39">
        <v>1</v>
      </c>
      <c r="L372" s="40">
        <v>1</v>
      </c>
      <c r="M372" s="41">
        <v>1</v>
      </c>
      <c r="N372" s="42">
        <v>-3.418105045269507</v>
      </c>
      <c r="O372" s="227">
        <v>1.7140513887188427</v>
      </c>
      <c r="P372" s="239">
        <v>1</v>
      </c>
      <c r="Q372" s="239"/>
      <c r="R372" s="306"/>
      <c r="S372" s="306"/>
      <c r="T372" s="313" t="s">
        <v>2022</v>
      </c>
    </row>
    <row r="373" spans="1:20" ht="28.5" customHeight="1" x14ac:dyDescent="0.5">
      <c r="A373" s="1" t="s">
        <v>736</v>
      </c>
      <c r="B373" s="1" t="s">
        <v>161</v>
      </c>
      <c r="C373" s="222" t="s">
        <v>837</v>
      </c>
      <c r="D373" s="71" t="s">
        <v>918</v>
      </c>
      <c r="E373" s="82" t="s">
        <v>838</v>
      </c>
      <c r="F373" s="623" t="e">
        <f ca="1">_xll.JChemExcel.Functions.JCSYSStructure("0E0EC85F448DF896BDDB125D57C28AE2")</f>
        <v>#NAME?</v>
      </c>
      <c r="G373" s="282"/>
      <c r="H373" s="16">
        <v>0</v>
      </c>
      <c r="I373" s="17">
        <v>1</v>
      </c>
      <c r="J373" s="18">
        <v>1</v>
      </c>
      <c r="K373" s="19">
        <v>0.2</v>
      </c>
      <c r="L373" s="20">
        <v>0.16666666666666657</v>
      </c>
      <c r="M373" s="21">
        <v>0.25</v>
      </c>
      <c r="N373" s="30">
        <v>82.855333549620809</v>
      </c>
      <c r="O373" s="227">
        <v>23.772314126780401</v>
      </c>
      <c r="P373" s="239"/>
      <c r="Q373" s="239"/>
      <c r="R373" s="306"/>
      <c r="S373" s="306"/>
      <c r="T373" s="314" t="s">
        <v>1976</v>
      </c>
    </row>
    <row r="374" spans="1:20" ht="28.5" customHeight="1" x14ac:dyDescent="0.35">
      <c r="A374" s="1" t="s">
        <v>736</v>
      </c>
      <c r="B374" s="1" t="s">
        <v>164</v>
      </c>
      <c r="C374" s="222" t="s">
        <v>839</v>
      </c>
      <c r="D374" s="73" t="s">
        <v>915</v>
      </c>
      <c r="E374" s="82" t="s">
        <v>840</v>
      </c>
      <c r="F374" s="623" t="e">
        <f ca="1">_xll.JChemExcel.Functions.JCSYSStructure("39F968877BF9FB052B916EB7F160D4F5")</f>
        <v>#NAME?</v>
      </c>
      <c r="G374" s="282"/>
      <c r="H374" s="16">
        <v>0</v>
      </c>
      <c r="I374" s="17">
        <v>0</v>
      </c>
      <c r="J374" s="18">
        <v>0</v>
      </c>
      <c r="K374" s="19">
        <v>0.15</v>
      </c>
      <c r="L374" s="20">
        <v>0.16666666666666657</v>
      </c>
      <c r="M374" s="21">
        <v>0.3125</v>
      </c>
      <c r="N374" s="320">
        <v>137.03590992087641</v>
      </c>
      <c r="O374" s="227">
        <v>14.624387417280021</v>
      </c>
      <c r="P374" s="239"/>
      <c r="Q374" s="239"/>
      <c r="R374" s="324">
        <v>1</v>
      </c>
      <c r="S374" s="306"/>
      <c r="T374" s="313" t="s">
        <v>1974</v>
      </c>
    </row>
    <row r="375" spans="1:20" ht="28.5" customHeight="1" x14ac:dyDescent="0.35">
      <c r="A375" s="1" t="s">
        <v>736</v>
      </c>
      <c r="B375" s="1" t="s">
        <v>167</v>
      </c>
      <c r="C375" s="222" t="s">
        <v>841</v>
      </c>
      <c r="D375" s="71" t="s">
        <v>918</v>
      </c>
      <c r="E375" s="82" t="s">
        <v>842</v>
      </c>
      <c r="F375" s="623" t="e">
        <f ca="1">_xll.JChemExcel.Functions.JCSYSStructure("ECF07D284077EAF8C95B5C5912E592F2")</f>
        <v>#NAME?</v>
      </c>
      <c r="G375" s="282"/>
      <c r="H375" s="16">
        <v>2</v>
      </c>
      <c r="I375" s="17">
        <v>1</v>
      </c>
      <c r="J375" s="18">
        <v>0</v>
      </c>
      <c r="K375" s="19">
        <v>0.5</v>
      </c>
      <c r="L375" s="20">
        <v>0.66666666666666674</v>
      </c>
      <c r="M375" s="21">
        <v>1</v>
      </c>
      <c r="N375" s="30">
        <v>145.7011526299512</v>
      </c>
      <c r="O375" s="227">
        <v>52.739452619220998</v>
      </c>
      <c r="P375" s="239"/>
      <c r="Q375" s="239"/>
      <c r="R375" s="241">
        <v>1</v>
      </c>
      <c r="S375" s="241">
        <v>1</v>
      </c>
      <c r="T375" s="313" t="s">
        <v>2030</v>
      </c>
    </row>
    <row r="376" spans="1:20" ht="28.5" customHeight="1" x14ac:dyDescent="0.35">
      <c r="A376" s="1" t="s">
        <v>736</v>
      </c>
      <c r="B376" s="1" t="s">
        <v>170</v>
      </c>
      <c r="C376" s="222" t="s">
        <v>843</v>
      </c>
      <c r="D376" s="71" t="s">
        <v>918</v>
      </c>
      <c r="E376" s="82" t="s">
        <v>844</v>
      </c>
      <c r="F376" s="623" t="e">
        <f ca="1">_xll.JChemExcel.Functions.JCSYSStructure("B3118C8A3F025AE5FE429BBFC287238C")</f>
        <v>#NAME?</v>
      </c>
      <c r="G376" s="282"/>
      <c r="H376" s="16">
        <v>0</v>
      </c>
      <c r="I376" s="17">
        <v>0</v>
      </c>
      <c r="J376" s="18">
        <v>0</v>
      </c>
      <c r="K376" s="19">
        <v>0.2</v>
      </c>
      <c r="L376" s="20">
        <v>0.44444444444444442</v>
      </c>
      <c r="M376" s="21">
        <v>0.5</v>
      </c>
      <c r="N376" s="30">
        <v>88.097535645449469</v>
      </c>
      <c r="O376" s="227">
        <v>85.075045833955073</v>
      </c>
      <c r="P376" s="239"/>
      <c r="Q376" s="239"/>
      <c r="R376" s="306"/>
      <c r="S376" s="306"/>
    </row>
    <row r="377" spans="1:20" ht="28.5" customHeight="1" x14ac:dyDescent="0.35">
      <c r="A377" s="1" t="s">
        <v>736</v>
      </c>
      <c r="B377" s="1" t="s">
        <v>173</v>
      </c>
      <c r="C377" s="222" t="s">
        <v>845</v>
      </c>
      <c r="D377" s="71" t="s">
        <v>916</v>
      </c>
      <c r="E377" s="82" t="s">
        <v>846</v>
      </c>
      <c r="F377" s="623" t="e">
        <f ca="1">_xll.JChemExcel.Functions.JCSYSStructure("C57E752822D0E34C2F493B7FDF44BB24")</f>
        <v>#NAME?</v>
      </c>
      <c r="G377" s="282"/>
      <c r="H377" s="16">
        <v>0</v>
      </c>
      <c r="I377" s="17">
        <v>0</v>
      </c>
      <c r="J377" s="18">
        <v>0</v>
      </c>
      <c r="K377" s="19">
        <v>0.2</v>
      </c>
      <c r="L377" s="20">
        <v>0.16666666666666657</v>
      </c>
      <c r="M377" s="21">
        <v>0.3125</v>
      </c>
      <c r="N377" s="30">
        <v>158.33509568491621</v>
      </c>
      <c r="O377" s="227">
        <v>23.340653888389202</v>
      </c>
      <c r="P377" s="239"/>
      <c r="Q377" s="239"/>
      <c r="R377" s="241">
        <v>1</v>
      </c>
      <c r="S377" s="241"/>
    </row>
    <row r="378" spans="1:20" ht="28.5" customHeight="1" x14ac:dyDescent="0.35">
      <c r="A378" s="1" t="s">
        <v>736</v>
      </c>
      <c r="B378" s="1" t="s">
        <v>176</v>
      </c>
      <c r="C378" s="222" t="s">
        <v>847</v>
      </c>
      <c r="D378" s="71" t="s">
        <v>916</v>
      </c>
      <c r="E378" s="82" t="s">
        <v>848</v>
      </c>
      <c r="F378" s="623" t="e">
        <f ca="1">_xll.JChemExcel.Functions.JCSYSStructure("49F60246DC277A01925FE78C0BFE8106")</f>
        <v>#NAME?</v>
      </c>
      <c r="G378" s="282"/>
      <c r="H378" s="16">
        <v>0</v>
      </c>
      <c r="I378" s="17">
        <v>0</v>
      </c>
      <c r="J378" s="18">
        <v>0</v>
      </c>
      <c r="K378" s="19">
        <v>0.25</v>
      </c>
      <c r="L378" s="20">
        <v>0.22222222222222215</v>
      </c>
      <c r="M378" s="21">
        <v>0.4375</v>
      </c>
      <c r="N378" s="30">
        <v>94.43803326616333</v>
      </c>
      <c r="O378" s="227">
        <v>3.349959201318935</v>
      </c>
      <c r="P378" s="239"/>
      <c r="Q378" s="239"/>
      <c r="R378" s="306"/>
      <c r="S378" s="306"/>
    </row>
    <row r="379" spans="1:20" ht="28.5" customHeight="1" x14ac:dyDescent="0.35">
      <c r="A379" s="4" t="s">
        <v>736</v>
      </c>
      <c r="B379" s="4" t="s">
        <v>179</v>
      </c>
      <c r="C379" s="223" t="s">
        <v>849</v>
      </c>
      <c r="D379" s="71" t="s">
        <v>916</v>
      </c>
      <c r="E379" s="82" t="s">
        <v>850</v>
      </c>
      <c r="F379" s="623" t="e">
        <f ca="1">_xll.JChemExcel.Functions.JCSYSStructure("DDCC36729A6EB3C967922C8C548F8138")</f>
        <v>#NAME?</v>
      </c>
      <c r="G379" s="282"/>
      <c r="H379" s="24">
        <v>4</v>
      </c>
      <c r="I379" s="25">
        <v>4</v>
      </c>
      <c r="J379" s="26">
        <v>4</v>
      </c>
      <c r="K379" s="27">
        <v>1</v>
      </c>
      <c r="L379" s="28">
        <v>1</v>
      </c>
      <c r="M379" s="29">
        <v>1</v>
      </c>
      <c r="N379" s="30">
        <v>-0.2143950858850675</v>
      </c>
      <c r="O379" s="227">
        <v>2.184804432807073</v>
      </c>
      <c r="P379" s="239">
        <v>1</v>
      </c>
      <c r="Q379" s="239"/>
      <c r="R379" s="306"/>
      <c r="S379" s="306"/>
    </row>
    <row r="380" spans="1:20" ht="28.5" customHeight="1" x14ac:dyDescent="0.35">
      <c r="A380" s="1" t="s">
        <v>736</v>
      </c>
      <c r="B380" s="1" t="s">
        <v>182</v>
      </c>
      <c r="C380" s="222" t="s">
        <v>851</v>
      </c>
      <c r="D380" s="71" t="s">
        <v>918</v>
      </c>
      <c r="E380" s="82" t="s">
        <v>852</v>
      </c>
      <c r="F380" s="623" t="e">
        <f ca="1">_xll.JChemExcel.Functions.JCSYSStructure("8272A6AC8540C4DE716523DE23CF1AAB")</f>
        <v>#NAME?</v>
      </c>
      <c r="G380" s="282"/>
      <c r="H380" s="16">
        <v>0</v>
      </c>
      <c r="I380" s="17">
        <v>0</v>
      </c>
      <c r="J380" s="18">
        <v>0</v>
      </c>
      <c r="K380" s="19">
        <v>0.1</v>
      </c>
      <c r="L380" s="20">
        <v>0.22222222222222215</v>
      </c>
      <c r="M380" s="21">
        <v>0.375</v>
      </c>
      <c r="N380" s="30">
        <v>152.13224725909129</v>
      </c>
      <c r="O380" s="227">
        <v>46.329976948803662</v>
      </c>
      <c r="P380" s="239"/>
      <c r="Q380" s="239"/>
      <c r="R380" s="241">
        <v>1</v>
      </c>
      <c r="S380" s="241"/>
    </row>
    <row r="381" spans="1:20" ht="28.5" customHeight="1" x14ac:dyDescent="0.35">
      <c r="A381" s="1" t="s">
        <v>736</v>
      </c>
      <c r="B381" s="1" t="s">
        <v>185</v>
      </c>
      <c r="C381" s="222" t="s">
        <v>853</v>
      </c>
      <c r="D381" s="71" t="s">
        <v>916</v>
      </c>
      <c r="E381" s="82" t="s">
        <v>854</v>
      </c>
      <c r="F381" s="623" t="e">
        <f ca="1">_xll.JChemExcel.Functions.JCSYSStructure("49C9CBE183937AB817C58F089C4292F1")</f>
        <v>#NAME?</v>
      </c>
      <c r="G381" s="282"/>
      <c r="H381" s="16">
        <v>0</v>
      </c>
      <c r="I381" s="17">
        <v>0</v>
      </c>
      <c r="J381" s="18">
        <v>0</v>
      </c>
      <c r="K381" s="19">
        <v>0.2</v>
      </c>
      <c r="L381" s="20">
        <v>0.27777777777777785</v>
      </c>
      <c r="M381" s="21">
        <v>0.375</v>
      </c>
      <c r="N381" s="30">
        <v>107.11746802762318</v>
      </c>
      <c r="O381" s="227">
        <v>21.054187143132115</v>
      </c>
      <c r="P381" s="239"/>
      <c r="Q381" s="239"/>
      <c r="R381" s="306"/>
      <c r="S381" s="306"/>
    </row>
    <row r="382" spans="1:20" ht="28.5" customHeight="1" x14ac:dyDescent="0.35">
      <c r="A382" s="1" t="s">
        <v>736</v>
      </c>
      <c r="B382" s="1" t="s">
        <v>188</v>
      </c>
      <c r="C382" s="222" t="s">
        <v>855</v>
      </c>
      <c r="D382" s="71" t="s">
        <v>923</v>
      </c>
      <c r="E382" s="82" t="s">
        <v>856</v>
      </c>
      <c r="F382" s="623" t="e">
        <f ca="1">_xll.JChemExcel.Functions.JCSYSStructure("C5ED1FEE5ECDB531C3A373A9EF140A77")</f>
        <v>#NAME?</v>
      </c>
      <c r="G382" s="282"/>
      <c r="H382" s="16">
        <v>0</v>
      </c>
      <c r="I382" s="17">
        <v>2</v>
      </c>
      <c r="J382" s="18">
        <v>4</v>
      </c>
      <c r="K382" s="19">
        <v>0.25</v>
      </c>
      <c r="L382" s="20">
        <v>0.55555555555555558</v>
      </c>
      <c r="M382" s="21">
        <v>1</v>
      </c>
      <c r="N382" s="319">
        <v>121.63724893487526</v>
      </c>
      <c r="O382" s="227">
        <v>2.8145348867300957</v>
      </c>
      <c r="P382" s="239"/>
      <c r="Q382" s="239"/>
      <c r="R382" s="306"/>
      <c r="S382" s="306"/>
    </row>
    <row r="383" spans="1:20" ht="28.5" customHeight="1" x14ac:dyDescent="0.35">
      <c r="A383" s="1" t="s">
        <v>736</v>
      </c>
      <c r="B383" s="1" t="s">
        <v>191</v>
      </c>
      <c r="C383" s="222" t="s">
        <v>857</v>
      </c>
      <c r="D383" s="71" t="s">
        <v>916</v>
      </c>
      <c r="E383" s="82" t="s">
        <v>858</v>
      </c>
      <c r="F383" s="623" t="e">
        <f ca="1">_xll.JChemExcel.Functions.JCSYSStructure("C547D2A1BA8B6C317CFAC8D039EE3EAD")</f>
        <v>#NAME?</v>
      </c>
      <c r="G383" s="282"/>
      <c r="H383" s="16">
        <v>0</v>
      </c>
      <c r="I383" s="17">
        <v>0</v>
      </c>
      <c r="J383" s="18">
        <v>0</v>
      </c>
      <c r="K383" s="19">
        <v>0.05</v>
      </c>
      <c r="L383" s="20">
        <v>2.7027027027026945E-2</v>
      </c>
      <c r="M383" s="21">
        <v>3.0303030303030311E-2</v>
      </c>
      <c r="N383" s="30">
        <v>90.617532453153302</v>
      </c>
      <c r="O383" s="227">
        <v>12.321001473858185</v>
      </c>
      <c r="P383" s="239"/>
      <c r="Q383" s="239"/>
      <c r="R383" s="306"/>
      <c r="S383" s="306"/>
    </row>
    <row r="384" spans="1:20" ht="28.5" customHeight="1" x14ac:dyDescent="0.35">
      <c r="A384" s="1" t="s">
        <v>736</v>
      </c>
      <c r="B384" s="1" t="s">
        <v>194</v>
      </c>
      <c r="C384" s="222" t="s">
        <v>859</v>
      </c>
      <c r="D384" s="71" t="s">
        <v>916</v>
      </c>
      <c r="E384" s="82" t="s">
        <v>860</v>
      </c>
      <c r="F384" s="623" t="e">
        <f ca="1">_xll.JChemExcel.Functions.JCSYSStructure("83578530A72D044D00EE58E3D3456AE8")</f>
        <v>#NAME?</v>
      </c>
      <c r="G384" s="282"/>
      <c r="H384" s="16">
        <v>1</v>
      </c>
      <c r="I384" s="17">
        <v>1</v>
      </c>
      <c r="J384" s="18">
        <v>2</v>
      </c>
      <c r="K384" s="32">
        <v>0.15</v>
      </c>
      <c r="L384" s="33">
        <v>0.05</v>
      </c>
      <c r="M384" s="34">
        <v>5.5555555555555573E-2</v>
      </c>
      <c r="N384" s="42">
        <v>45.152681075494719</v>
      </c>
      <c r="O384" s="227">
        <v>30.965096128125509</v>
      </c>
      <c r="P384" s="239"/>
      <c r="Q384" s="239"/>
      <c r="R384" s="306"/>
      <c r="S384" s="306"/>
    </row>
    <row r="385" spans="1:20" ht="28.5" customHeight="1" x14ac:dyDescent="0.35">
      <c r="A385" s="1" t="s">
        <v>736</v>
      </c>
      <c r="B385" s="1" t="s">
        <v>197</v>
      </c>
      <c r="C385" s="222" t="s">
        <v>861</v>
      </c>
      <c r="D385" s="71" t="s">
        <v>916</v>
      </c>
      <c r="E385" s="82" t="s">
        <v>862</v>
      </c>
      <c r="F385" s="623" t="e">
        <f ca="1">_xll.JChemExcel.Functions.JCSYSStructure("7ED37FF230678483813E180100503875")</f>
        <v>#NAME?</v>
      </c>
      <c r="G385" s="282"/>
      <c r="H385" s="16">
        <v>0</v>
      </c>
      <c r="I385" s="17">
        <v>0</v>
      </c>
      <c r="J385" s="18">
        <v>0</v>
      </c>
      <c r="K385" s="19">
        <v>0</v>
      </c>
      <c r="L385" s="20">
        <v>8.1081081081080975E-2</v>
      </c>
      <c r="M385" s="21">
        <v>0.15151515151515155</v>
      </c>
      <c r="N385" s="30">
        <v>16.435896448927217</v>
      </c>
      <c r="O385" s="227">
        <v>0.61487098423077047</v>
      </c>
      <c r="P385" s="239"/>
      <c r="Q385" s="239">
        <v>1</v>
      </c>
      <c r="R385" s="306"/>
      <c r="S385" s="306"/>
    </row>
    <row r="386" spans="1:20" ht="28.5" customHeight="1" x14ac:dyDescent="0.35">
      <c r="A386" s="1" t="s">
        <v>736</v>
      </c>
      <c r="B386" s="1" t="s">
        <v>200</v>
      </c>
      <c r="C386" s="222" t="s">
        <v>863</v>
      </c>
      <c r="D386" s="71" t="s">
        <v>918</v>
      </c>
      <c r="E386" s="82" t="s">
        <v>864</v>
      </c>
      <c r="F386" s="623" t="e">
        <f ca="1">_xll.JChemExcel.Functions.JCSYSStructure("4122A5D04E16627108529B4F74A679CC")</f>
        <v>#NAME?</v>
      </c>
      <c r="G386" s="282"/>
      <c r="H386" s="16">
        <v>0</v>
      </c>
      <c r="I386" s="17">
        <v>0</v>
      </c>
      <c r="J386" s="18">
        <v>0</v>
      </c>
      <c r="K386" s="19">
        <v>0.1</v>
      </c>
      <c r="L386" s="20">
        <v>0.13513513513513517</v>
      </c>
      <c r="M386" s="21">
        <v>0.15151515151515155</v>
      </c>
      <c r="N386" s="30">
        <v>104.34115123889478</v>
      </c>
      <c r="O386" s="227">
        <v>2.0750503299307135</v>
      </c>
      <c r="P386" s="239"/>
      <c r="Q386" s="239"/>
      <c r="R386" s="306"/>
      <c r="S386" s="306"/>
    </row>
    <row r="387" spans="1:20" ht="28.5" customHeight="1" x14ac:dyDescent="0.35">
      <c r="A387" s="1" t="s">
        <v>736</v>
      </c>
      <c r="B387" s="1" t="s">
        <v>203</v>
      </c>
      <c r="C387" s="222" t="s">
        <v>865</v>
      </c>
      <c r="D387" s="71" t="s">
        <v>919</v>
      </c>
      <c r="E387" s="82" t="s">
        <v>866</v>
      </c>
      <c r="F387" s="623" t="e">
        <f ca="1">_xll.JChemExcel.Functions.JCSYSStructure("71B00C4315D653402C5FE90A6AF84A52")</f>
        <v>#NAME?</v>
      </c>
      <c r="G387" s="282" t="s">
        <v>954</v>
      </c>
      <c r="H387" s="16">
        <v>1</v>
      </c>
      <c r="I387" s="17">
        <v>0</v>
      </c>
      <c r="J387" s="18">
        <v>0</v>
      </c>
      <c r="K387" s="19">
        <v>0.05</v>
      </c>
      <c r="L387" s="20">
        <v>2.7027027027026945E-2</v>
      </c>
      <c r="M387" s="21">
        <v>0.15151515151515155</v>
      </c>
      <c r="N387" s="30">
        <v>108.92289876542256</v>
      </c>
      <c r="O387" s="227">
        <v>11.866242851886012</v>
      </c>
      <c r="P387" s="239"/>
      <c r="Q387" s="239"/>
      <c r="R387" s="306"/>
      <c r="S387" s="306"/>
    </row>
    <row r="388" spans="1:20" ht="28.5" customHeight="1" x14ac:dyDescent="0.35">
      <c r="A388" s="1" t="s">
        <v>736</v>
      </c>
      <c r="B388" s="1" t="s">
        <v>206</v>
      </c>
      <c r="C388" s="222" t="s">
        <v>867</v>
      </c>
      <c r="D388" s="71" t="s">
        <v>919</v>
      </c>
      <c r="E388" s="82" t="s">
        <v>868</v>
      </c>
      <c r="F388" s="623" t="e">
        <f ca="1">_xll.JChemExcel.Functions.JCSYSStructure("ECAB7F05A2550366AC230FBDD4564103")</f>
        <v>#NAME?</v>
      </c>
      <c r="G388" s="282" t="s">
        <v>935</v>
      </c>
      <c r="H388" s="16">
        <v>0</v>
      </c>
      <c r="I388" s="17">
        <v>0</v>
      </c>
      <c r="J388" s="18">
        <v>0</v>
      </c>
      <c r="K388" s="19">
        <v>0.05</v>
      </c>
      <c r="L388" s="20">
        <v>8.1081081081080975E-2</v>
      </c>
      <c r="M388" s="21">
        <v>0.33333333333333343</v>
      </c>
      <c r="N388" s="30">
        <v>20.38997214484683</v>
      </c>
      <c r="O388" s="227">
        <v>10.242215214958348</v>
      </c>
      <c r="P388" s="239"/>
      <c r="Q388" s="239">
        <v>1</v>
      </c>
      <c r="R388" s="306"/>
      <c r="S388" s="306"/>
    </row>
    <row r="389" spans="1:20" ht="28.5" customHeight="1" x14ac:dyDescent="0.35">
      <c r="A389" s="1" t="s">
        <v>736</v>
      </c>
      <c r="B389" s="1" t="s">
        <v>209</v>
      </c>
      <c r="C389" s="222" t="s">
        <v>869</v>
      </c>
      <c r="D389" s="71" t="s">
        <v>919</v>
      </c>
      <c r="E389" s="82" t="s">
        <v>870</v>
      </c>
      <c r="F389" s="623" t="e">
        <f ca="1">_xll.JChemExcel.Functions.JCSYSStructure("D77E063C0F4D6589E2A7107E78BFA8FD")</f>
        <v>#NAME?</v>
      </c>
      <c r="G389" s="282"/>
      <c r="H389" s="16">
        <v>1</v>
      </c>
      <c r="I389" s="17">
        <v>4</v>
      </c>
      <c r="J389" s="18">
        <v>4</v>
      </c>
      <c r="K389" s="19">
        <v>0</v>
      </c>
      <c r="L389" s="20">
        <v>0.1891891891891892</v>
      </c>
      <c r="M389" s="21">
        <v>0.69696969696969691</v>
      </c>
      <c r="N389" s="30">
        <v>20.668523676880227</v>
      </c>
      <c r="O389" s="227">
        <v>7.0119781087022526</v>
      </c>
      <c r="P389" s="239">
        <v>1</v>
      </c>
      <c r="Q389" s="239"/>
      <c r="R389" s="306"/>
      <c r="S389" s="306"/>
    </row>
    <row r="390" spans="1:20" ht="28.5" customHeight="1" x14ac:dyDescent="0.35">
      <c r="A390" s="1" t="s">
        <v>736</v>
      </c>
      <c r="B390" s="1" t="s">
        <v>212</v>
      </c>
      <c r="C390" s="222" t="s">
        <v>871</v>
      </c>
      <c r="D390" s="71" t="s">
        <v>918</v>
      </c>
      <c r="E390" s="82" t="s">
        <v>872</v>
      </c>
      <c r="F390" s="623" t="e">
        <f ca="1">_xll.JChemExcel.Functions.JCSYSStructure("57DFE31BD098C3B6E2EE7F8A3AF51F12")</f>
        <v>#NAME?</v>
      </c>
      <c r="G390" s="282"/>
      <c r="H390" s="16">
        <v>0</v>
      </c>
      <c r="I390" s="17">
        <v>0</v>
      </c>
      <c r="J390" s="18">
        <v>0</v>
      </c>
      <c r="K390" s="19">
        <v>0</v>
      </c>
      <c r="L390" s="20">
        <v>-2.7027027027026945E-2</v>
      </c>
      <c r="M390" s="21">
        <v>3.0303030303030311E-2</v>
      </c>
      <c r="N390" s="30">
        <v>85.67537350088034</v>
      </c>
      <c r="O390" s="227">
        <v>22.943546646001415</v>
      </c>
      <c r="P390" s="239"/>
      <c r="Q390" s="239"/>
      <c r="R390" s="306"/>
      <c r="S390" s="306"/>
    </row>
    <row r="391" spans="1:20" ht="28.5" customHeight="1" x14ac:dyDescent="0.35">
      <c r="A391" s="1" t="s">
        <v>736</v>
      </c>
      <c r="B391" s="1" t="s">
        <v>215</v>
      </c>
      <c r="C391" s="222" t="s">
        <v>873</v>
      </c>
      <c r="D391" s="71" t="s">
        <v>926</v>
      </c>
      <c r="E391" s="82" t="s">
        <v>874</v>
      </c>
      <c r="F391" s="623" t="e">
        <f ca="1">_xll.JChemExcel.Functions.JCSYSStructure("EE17715A9BA3A9E48BFF2C298CA2A6C9")</f>
        <v>#NAME?</v>
      </c>
      <c r="G391" s="282"/>
      <c r="H391" s="16">
        <v>0</v>
      </c>
      <c r="I391" s="17">
        <v>0</v>
      </c>
      <c r="J391" s="18">
        <v>0</v>
      </c>
      <c r="K391" s="19">
        <v>0.05</v>
      </c>
      <c r="L391" s="20">
        <v>2.7027027027026945E-2</v>
      </c>
      <c r="M391" s="21">
        <v>9.0909090909090939E-2</v>
      </c>
      <c r="N391" s="30">
        <v>91.695690355594778</v>
      </c>
      <c r="O391" s="227">
        <v>8.4267274973009769</v>
      </c>
      <c r="P391" s="239"/>
      <c r="Q391" s="239"/>
      <c r="R391" s="306"/>
      <c r="S391" s="306"/>
    </row>
    <row r="392" spans="1:20" ht="28.5" customHeight="1" x14ac:dyDescent="0.35">
      <c r="A392" s="1" t="s">
        <v>736</v>
      </c>
      <c r="B392" s="1" t="s">
        <v>218</v>
      </c>
      <c r="C392" s="222" t="s">
        <v>875</v>
      </c>
      <c r="D392" s="71" t="s">
        <v>919</v>
      </c>
      <c r="E392" s="82" t="s">
        <v>876</v>
      </c>
      <c r="F392" s="623" t="e">
        <f ca="1">_xll.JChemExcel.Functions.JCSYSStructure("ABEE15121C926B7A8FB9C58955B9E338")</f>
        <v>#NAME?</v>
      </c>
      <c r="G392" s="282"/>
      <c r="H392" s="16">
        <v>0</v>
      </c>
      <c r="I392" s="17">
        <v>0</v>
      </c>
      <c r="J392" s="18">
        <v>0</v>
      </c>
      <c r="K392" s="32">
        <v>0</v>
      </c>
      <c r="L392" s="33">
        <v>0</v>
      </c>
      <c r="M392" s="34">
        <v>0.11111111111111115</v>
      </c>
      <c r="N392" s="42">
        <v>90.742192510023131</v>
      </c>
      <c r="O392" s="227">
        <v>0.45503185125625467</v>
      </c>
      <c r="P392" s="239"/>
      <c r="Q392" s="239"/>
      <c r="R392" s="306"/>
      <c r="S392" s="306"/>
    </row>
    <row r="393" spans="1:20" ht="28.5" customHeight="1" x14ac:dyDescent="0.35">
      <c r="A393" s="1" t="s">
        <v>736</v>
      </c>
      <c r="B393" s="1" t="s">
        <v>221</v>
      </c>
      <c r="C393" s="222" t="s">
        <v>877</v>
      </c>
      <c r="D393" s="71" t="s">
        <v>920</v>
      </c>
      <c r="E393" s="82" t="s">
        <v>878</v>
      </c>
      <c r="F393" s="623" t="e">
        <f ca="1">_xll.JChemExcel.Functions.JCSYSStructure("EF0C7DAE321837DC17E6A62EED3E7E5F")</f>
        <v>#NAME?</v>
      </c>
      <c r="G393" s="282"/>
      <c r="H393" s="16">
        <v>0</v>
      </c>
      <c r="I393" s="17">
        <v>0</v>
      </c>
      <c r="J393" s="18">
        <v>0</v>
      </c>
      <c r="K393" s="19">
        <v>0.1</v>
      </c>
      <c r="L393" s="20">
        <v>2.7027027027026945E-2</v>
      </c>
      <c r="M393" s="21">
        <v>3.0303030303030311E-2</v>
      </c>
      <c r="N393" s="30">
        <v>89.68973051105425</v>
      </c>
      <c r="O393" s="227">
        <v>9.0520232297180012</v>
      </c>
      <c r="P393" s="239"/>
      <c r="Q393" s="239"/>
      <c r="R393" s="306"/>
      <c r="S393" s="306"/>
    </row>
    <row r="394" spans="1:20" ht="28.5" customHeight="1" x14ac:dyDescent="0.35">
      <c r="A394" s="1" t="s">
        <v>736</v>
      </c>
      <c r="B394" s="1" t="s">
        <v>224</v>
      </c>
      <c r="C394" s="222" t="s">
        <v>879</v>
      </c>
      <c r="D394" s="72" t="s">
        <v>993</v>
      </c>
      <c r="E394" s="82" t="s">
        <v>880</v>
      </c>
      <c r="F394" s="623" t="e">
        <f ca="1">_xll.JChemExcel.Functions.JCSYSStructure("1BAB08DC3C641F2F17FF20D812DFECD0")</f>
        <v>#NAME?</v>
      </c>
      <c r="G394" s="282" t="s">
        <v>957</v>
      </c>
      <c r="H394" s="16">
        <v>0</v>
      </c>
      <c r="I394" s="17">
        <v>0</v>
      </c>
      <c r="J394" s="18">
        <v>0</v>
      </c>
      <c r="K394" s="32">
        <v>0</v>
      </c>
      <c r="L394" s="33">
        <v>6.25E-2</v>
      </c>
      <c r="M394" s="34">
        <v>0</v>
      </c>
      <c r="N394" s="42">
        <v>93.800807555814288</v>
      </c>
      <c r="O394" s="227">
        <v>4.0279251332387958</v>
      </c>
      <c r="P394" s="239"/>
      <c r="Q394" s="239"/>
      <c r="R394" s="306"/>
      <c r="S394" s="306"/>
    </row>
    <row r="395" spans="1:20" ht="28.5" customHeight="1" x14ac:dyDescent="0.35">
      <c r="A395" s="1" t="s">
        <v>736</v>
      </c>
      <c r="B395" s="1" t="s">
        <v>227</v>
      </c>
      <c r="C395" s="222" t="s">
        <v>881</v>
      </c>
      <c r="D395" s="71" t="s">
        <v>916</v>
      </c>
      <c r="E395" s="82" t="s">
        <v>882</v>
      </c>
      <c r="F395" s="623" t="e">
        <f ca="1">_xll.JChemExcel.Functions.JCSYSStructure("9DDABB7C7CB02412DC0E86C0792A0D9A")</f>
        <v>#NAME?</v>
      </c>
      <c r="G395" s="282"/>
      <c r="H395" s="16">
        <v>3</v>
      </c>
      <c r="I395" s="17">
        <v>4</v>
      </c>
      <c r="J395" s="18">
        <v>4</v>
      </c>
      <c r="K395" s="32">
        <v>0</v>
      </c>
      <c r="L395" s="33">
        <v>0</v>
      </c>
      <c r="M395" s="34">
        <v>0.11111111111111115</v>
      </c>
      <c r="N395" s="42">
        <v>95.723393184923282</v>
      </c>
      <c r="O395" s="227">
        <v>8.1016266808908259</v>
      </c>
      <c r="P395" s="239"/>
      <c r="Q395" s="239"/>
      <c r="R395" s="306"/>
      <c r="S395" s="306"/>
    </row>
    <row r="396" spans="1:20" ht="28.5" customHeight="1" x14ac:dyDescent="0.35">
      <c r="A396" s="1" t="s">
        <v>736</v>
      </c>
      <c r="B396" s="1" t="s">
        <v>230</v>
      </c>
      <c r="C396" s="222" t="s">
        <v>883</v>
      </c>
      <c r="D396" s="72" t="s">
        <v>993</v>
      </c>
      <c r="E396" s="82" t="s">
        <v>884</v>
      </c>
      <c r="F396" s="623" t="e">
        <f ca="1">_xll.JChemExcel.Functions.JCSYSStructure("DE5641A55B02A42281AB6CE795B5DE8D")</f>
        <v>#NAME?</v>
      </c>
      <c r="G396" s="282" t="s">
        <v>924</v>
      </c>
      <c r="H396" s="16">
        <v>4</v>
      </c>
      <c r="I396" s="17">
        <v>4</v>
      </c>
      <c r="J396" s="18">
        <v>4</v>
      </c>
      <c r="K396" s="19">
        <v>1</v>
      </c>
      <c r="L396" s="20">
        <v>1</v>
      </c>
      <c r="M396" s="21">
        <v>1</v>
      </c>
      <c r="N396" s="319">
        <v>203.0127814972611</v>
      </c>
      <c r="O396" s="227">
        <v>33.645349329049743</v>
      </c>
      <c r="P396" s="239"/>
      <c r="Q396" s="239"/>
      <c r="R396" s="324">
        <v>1</v>
      </c>
      <c r="S396" s="324">
        <v>1</v>
      </c>
    </row>
    <row r="397" spans="1:20" ht="28.5" customHeight="1" x14ac:dyDescent="0.35">
      <c r="A397" s="1" t="s">
        <v>736</v>
      </c>
      <c r="B397" s="1" t="s">
        <v>233</v>
      </c>
      <c r="C397" s="222" t="s">
        <v>885</v>
      </c>
      <c r="D397" s="72" t="s">
        <v>993</v>
      </c>
      <c r="E397" s="82" t="s">
        <v>886</v>
      </c>
      <c r="F397" s="623" t="e">
        <f ca="1">_xll.JChemExcel.Functions.JCSYSStructure("6A28240E0D3A9BF35FD0097C6FC34067")</f>
        <v>#NAME?</v>
      </c>
      <c r="G397" s="282" t="s">
        <v>951</v>
      </c>
      <c r="H397" s="16">
        <v>0</v>
      </c>
      <c r="I397" s="17">
        <v>0</v>
      </c>
      <c r="J397" s="18">
        <v>0</v>
      </c>
      <c r="K397" s="19">
        <v>0.05</v>
      </c>
      <c r="L397" s="20">
        <v>0.24324324324324323</v>
      </c>
      <c r="M397" s="21">
        <v>0.27272727272727265</v>
      </c>
      <c r="N397" s="30">
        <v>126.64669648620043</v>
      </c>
      <c r="O397" s="227">
        <v>6.0731724532351059</v>
      </c>
      <c r="P397" s="239"/>
      <c r="Q397" s="239"/>
      <c r="R397" s="306"/>
      <c r="S397" s="306"/>
    </row>
    <row r="398" spans="1:20" ht="28.5" customHeight="1" x14ac:dyDescent="0.35">
      <c r="A398" s="1" t="s">
        <v>736</v>
      </c>
      <c r="B398" s="1" t="s">
        <v>236</v>
      </c>
      <c r="C398" s="222" t="s">
        <v>887</v>
      </c>
      <c r="D398" s="71" t="s">
        <v>919</v>
      </c>
      <c r="E398" s="82" t="s">
        <v>888</v>
      </c>
      <c r="F398" s="623" t="e">
        <f ca="1">_xll.JChemExcel.Functions.JCSYSStructure("BF6FC74A5BDAAB1E10AEC283D8D97C9B")</f>
        <v>#NAME?</v>
      </c>
      <c r="G398" s="282"/>
      <c r="H398" s="16">
        <v>4</v>
      </c>
      <c r="I398" s="17">
        <v>4</v>
      </c>
      <c r="J398" s="18">
        <v>4</v>
      </c>
      <c r="K398" s="19">
        <v>0.3</v>
      </c>
      <c r="L398" s="20">
        <v>0.6216216216216216</v>
      </c>
      <c r="M398" s="21">
        <v>0.87878787878787878</v>
      </c>
      <c r="N398" s="319">
        <v>55.903834449178341</v>
      </c>
      <c r="O398" s="227">
        <v>4.2039058117886654</v>
      </c>
      <c r="P398" s="239"/>
      <c r="Q398" s="239"/>
      <c r="R398" s="306"/>
      <c r="S398" s="306"/>
    </row>
    <row r="399" spans="1:20" ht="28.5" customHeight="1" x14ac:dyDescent="0.35">
      <c r="A399" s="1" t="s">
        <v>736</v>
      </c>
      <c r="B399" s="1" t="s">
        <v>239</v>
      </c>
      <c r="C399" s="222" t="s">
        <v>889</v>
      </c>
      <c r="D399" s="71" t="s">
        <v>916</v>
      </c>
      <c r="E399" s="82" t="s">
        <v>890</v>
      </c>
      <c r="F399" s="623" t="e">
        <f ca="1">_xll.JChemExcel.Functions.JCSYSStructure("33A06D675981EFB97646E2377A1B0B5D")</f>
        <v>#NAME?</v>
      </c>
      <c r="G399" s="282"/>
      <c r="H399" s="16">
        <v>0</v>
      </c>
      <c r="I399" s="17">
        <v>0</v>
      </c>
      <c r="J399" s="18">
        <v>0</v>
      </c>
      <c r="K399" s="19">
        <v>0.15</v>
      </c>
      <c r="L399" s="20">
        <v>0.24324324324324323</v>
      </c>
      <c r="M399" s="21">
        <v>0.5757575757575758</v>
      </c>
      <c r="N399" s="30">
        <v>93.141125795640477</v>
      </c>
      <c r="O399" s="227">
        <v>3.6971075194362752</v>
      </c>
      <c r="P399" s="239"/>
      <c r="Q399" s="239"/>
      <c r="R399" s="306"/>
      <c r="S399" s="306"/>
      <c r="T399" s="313" t="s">
        <v>2022</v>
      </c>
    </row>
    <row r="400" spans="1:20" ht="28.5" customHeight="1" x14ac:dyDescent="0.5">
      <c r="A400" s="1" t="s">
        <v>736</v>
      </c>
      <c r="B400" s="1" t="s">
        <v>242</v>
      </c>
      <c r="C400" s="222" t="s">
        <v>891</v>
      </c>
      <c r="D400" s="71" t="s">
        <v>919</v>
      </c>
      <c r="E400" s="82" t="s">
        <v>892</v>
      </c>
      <c r="F400" s="623" t="e">
        <f ca="1">_xll.JChemExcel.Functions.JCSYSStructure("7ACEFF5D487F5D1E4151F09C2489B823")</f>
        <v>#NAME?</v>
      </c>
      <c r="G400" s="282"/>
      <c r="H400" s="16">
        <v>0</v>
      </c>
      <c r="I400" s="17">
        <v>0</v>
      </c>
      <c r="J400" s="18">
        <v>0</v>
      </c>
      <c r="K400" s="19">
        <v>0.05</v>
      </c>
      <c r="L400" s="20">
        <v>8.1081081081080975E-2</v>
      </c>
      <c r="M400" s="21">
        <v>9.0909090909090939E-2</v>
      </c>
      <c r="N400" s="30">
        <v>94.148452769250014</v>
      </c>
      <c r="O400" s="227">
        <v>8.4333060178297305</v>
      </c>
      <c r="P400" s="239"/>
      <c r="Q400" s="239"/>
      <c r="R400" s="306"/>
      <c r="S400" s="306"/>
      <c r="T400" s="314" t="s">
        <v>1976</v>
      </c>
    </row>
    <row r="401" spans="1:20" ht="28.5" customHeight="1" x14ac:dyDescent="0.35">
      <c r="A401" s="1" t="s">
        <v>736</v>
      </c>
      <c r="B401" s="1" t="s">
        <v>245</v>
      </c>
      <c r="C401" s="222" t="s">
        <v>893</v>
      </c>
      <c r="D401" s="71" t="s">
        <v>919</v>
      </c>
      <c r="E401" s="82" t="s">
        <v>894</v>
      </c>
      <c r="F401" s="623" t="e">
        <f ca="1">_xll.JChemExcel.Functions.JCSYSStructure("6001D80A5F629C386322F88CF8FC84D5")</f>
        <v>#NAME?</v>
      </c>
      <c r="G401" s="282"/>
      <c r="H401" s="16">
        <v>1</v>
      </c>
      <c r="I401" s="17">
        <v>0</v>
      </c>
      <c r="J401" s="18">
        <v>0</v>
      </c>
      <c r="K401" s="19">
        <v>0.15</v>
      </c>
      <c r="L401" s="20">
        <v>0.40540540540540543</v>
      </c>
      <c r="M401" s="21">
        <v>0.63636363636363635</v>
      </c>
      <c r="N401" s="30">
        <v>107.79537024913731</v>
      </c>
      <c r="O401" s="227">
        <v>9.6695634539074184</v>
      </c>
      <c r="P401" s="239"/>
      <c r="Q401" s="239"/>
      <c r="R401" s="306"/>
      <c r="S401" s="306"/>
      <c r="T401" s="313" t="s">
        <v>1974</v>
      </c>
    </row>
    <row r="402" spans="1:20" ht="28.5" customHeight="1" x14ac:dyDescent="0.35">
      <c r="A402" s="1" t="s">
        <v>736</v>
      </c>
      <c r="B402" s="1" t="s">
        <v>248</v>
      </c>
      <c r="C402" s="225" t="s">
        <v>895</v>
      </c>
      <c r="D402" s="74" t="s">
        <v>916</v>
      </c>
      <c r="E402" s="75" t="s">
        <v>896</v>
      </c>
      <c r="F402" s="624" t="e">
        <f ca="1">_xll.JChemExcel.Functions.JCSYSStructure("D1A972326F3C55A1F6DD7A24489C6C08")</f>
        <v>#NAME?</v>
      </c>
      <c r="G402" s="287"/>
      <c r="H402" s="35">
        <v>0</v>
      </c>
      <c r="I402" s="36">
        <v>1</v>
      </c>
      <c r="J402" s="37">
        <v>1</v>
      </c>
      <c r="K402" s="43">
        <v>1</v>
      </c>
      <c r="L402" s="44">
        <v>1</v>
      </c>
      <c r="M402" s="45">
        <v>1</v>
      </c>
      <c r="N402" s="185">
        <v>79.862897716185543</v>
      </c>
      <c r="O402" s="312">
        <v>8.1002184991801656</v>
      </c>
      <c r="P402" s="240"/>
      <c r="Q402" s="240"/>
      <c r="R402" s="307"/>
      <c r="S402" s="307"/>
      <c r="T402" s="313" t="s">
        <v>2030</v>
      </c>
    </row>
    <row r="403" spans="1:20" ht="28.5" customHeight="1" x14ac:dyDescent="0.35">
      <c r="A403" s="6"/>
      <c r="B403" s="6"/>
      <c r="C403" s="6"/>
      <c r="D403" s="6"/>
      <c r="E403" s="6"/>
      <c r="F403" s="6"/>
      <c r="G403" s="182"/>
      <c r="H403" s="17"/>
      <c r="I403" s="17"/>
      <c r="J403" s="17"/>
      <c r="K403" s="17"/>
      <c r="L403" s="17"/>
      <c r="M403" s="17"/>
      <c r="P403" s="196">
        <f>SUM(P3:P402)</f>
        <v>35</v>
      </c>
      <c r="Q403" s="196">
        <f>SUM(Q3:Q402)</f>
        <v>19</v>
      </c>
      <c r="R403" s="196">
        <f>SUM(R3:R402)</f>
        <v>34</v>
      </c>
      <c r="S403" s="196">
        <f>SUM(S3:S402)</f>
        <v>9</v>
      </c>
    </row>
    <row r="404" spans="1:20" ht="28.5" customHeight="1" x14ac:dyDescent="0.35">
      <c r="A404" s="6"/>
      <c r="B404" s="6"/>
      <c r="C404" s="6"/>
      <c r="D404" s="6"/>
      <c r="E404" s="6"/>
      <c r="F404" s="6"/>
      <c r="G404" s="182"/>
      <c r="H404" s="17"/>
      <c r="I404" s="17"/>
      <c r="J404" s="17"/>
      <c r="K404" s="17"/>
      <c r="L404" s="17"/>
      <c r="M404" s="17"/>
    </row>
    <row r="405" spans="1:20" ht="28.5" customHeight="1" x14ac:dyDescent="0.35">
      <c r="A405" s="6"/>
      <c r="B405" s="6"/>
      <c r="C405" s="6"/>
      <c r="D405" s="6"/>
      <c r="E405" s="6"/>
      <c r="F405" s="6"/>
      <c r="G405" s="182"/>
      <c r="H405" s="90"/>
      <c r="I405" s="90"/>
      <c r="J405" s="90"/>
      <c r="K405" s="17"/>
      <c r="L405" s="17"/>
      <c r="M405" s="17"/>
    </row>
    <row r="406" spans="1:20" ht="28.5" customHeight="1" x14ac:dyDescent="0.35">
      <c r="A406" s="6"/>
      <c r="B406" s="6"/>
      <c r="C406" s="6"/>
      <c r="D406" s="6"/>
      <c r="E406" s="6"/>
      <c r="F406" s="6"/>
      <c r="G406" s="182"/>
      <c r="H406" s="90"/>
      <c r="I406" s="90"/>
      <c r="J406" s="90"/>
      <c r="K406" s="17"/>
      <c r="L406" s="17"/>
      <c r="M406" s="17"/>
    </row>
    <row r="407" spans="1:20" ht="28.5" customHeight="1" x14ac:dyDescent="0.35">
      <c r="A407" s="6"/>
      <c r="B407" s="6"/>
      <c r="C407" s="6"/>
      <c r="D407" s="6"/>
      <c r="E407" s="6"/>
      <c r="F407" s="6"/>
      <c r="G407" s="182"/>
      <c r="H407" s="90"/>
      <c r="I407" s="90"/>
      <c r="J407" s="90"/>
      <c r="K407" s="17"/>
      <c r="L407" s="17"/>
      <c r="M407" s="17"/>
    </row>
  </sheetData>
  <autoFilter ref="A2:N403" xr:uid="{00000000-0009-0000-0000-000002000000}"/>
  <mergeCells count="3">
    <mergeCell ref="H1:J1"/>
    <mergeCell ref="K1:M1"/>
    <mergeCell ref="N1:O1"/>
  </mergeCells>
  <conditionalFormatting sqref="H405:J1048576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03:J404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03:J1048576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:M402 K3:L3">
    <cfRule type="cellIs" dxfId="30" priority="30" operator="between">
      <formula>0.5</formula>
      <formula>1</formula>
    </cfRule>
    <cfRule type="cellIs" dxfId="29" priority="31" operator="between">
      <formula>-1</formula>
      <formula>0.499999</formula>
    </cfRule>
  </conditionalFormatting>
  <conditionalFormatting sqref="H3:J402">
    <cfRule type="colorScale" priority="27">
      <colorScale>
        <cfvo type="num" val="0"/>
        <cfvo type="num" val="1"/>
        <cfvo type="num" val="4"/>
        <color rgb="FF63BE7B"/>
        <color rgb="FFFFEB84"/>
        <color rgb="FFF8696B"/>
      </colorScale>
    </cfRule>
  </conditionalFormatting>
  <conditionalFormatting sqref="T4:U4 X4">
    <cfRule type="colorScale" priority="26">
      <colorScale>
        <cfvo type="num" val="0"/>
        <cfvo type="num" val="0.4"/>
        <color rgb="FF00B050"/>
        <color rgb="FFFF0000"/>
      </colorScale>
    </cfRule>
  </conditionalFormatting>
  <conditionalFormatting sqref="Y4:AA4">
    <cfRule type="colorScale" priority="25">
      <colorScale>
        <cfvo type="num" val="0"/>
        <cfvo type="num" val="0.4"/>
        <color rgb="FF00B050"/>
        <color rgb="FFFF0000"/>
      </colorScale>
    </cfRule>
  </conditionalFormatting>
  <conditionalFormatting sqref="X11:AA11 U11:V11">
    <cfRule type="colorScale" priority="24">
      <colorScale>
        <cfvo type="num" val="0"/>
        <cfvo type="num" val="0.4"/>
        <color rgb="FF00B050"/>
        <color rgb="FFFF0000"/>
      </colorScale>
    </cfRule>
  </conditionalFormatting>
  <conditionalFormatting sqref="W11">
    <cfRule type="colorScale" priority="23">
      <colorScale>
        <cfvo type="num" val="0"/>
        <cfvo type="num" val="0.4"/>
        <color rgb="FF00B050"/>
        <color rgb="FFFF0000"/>
      </colorScale>
    </cfRule>
  </conditionalFormatting>
  <conditionalFormatting sqref="AD4">
    <cfRule type="colorScale" priority="22">
      <colorScale>
        <cfvo type="num" val="0"/>
        <cfvo type="num" val="0.4"/>
        <color rgb="FF00B050"/>
        <color rgb="FFFF0000"/>
      </colorScale>
    </cfRule>
  </conditionalFormatting>
  <conditionalFormatting sqref="AB11">
    <cfRule type="colorScale" priority="21">
      <colorScale>
        <cfvo type="num" val="0"/>
        <cfvo type="num" val="0.4"/>
        <color rgb="FF00B050"/>
        <color rgb="FFFF0000"/>
      </colorScale>
    </cfRule>
  </conditionalFormatting>
  <conditionalFormatting sqref="H1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0:U20 X20">
    <cfRule type="colorScale" priority="16">
      <colorScale>
        <cfvo type="num" val="0"/>
        <cfvo type="num" val="0.4"/>
        <color rgb="FF00B050"/>
        <color rgb="FFFF0000"/>
      </colorScale>
    </cfRule>
  </conditionalFormatting>
  <conditionalFormatting sqref="Y20:AA20">
    <cfRule type="colorScale" priority="15">
      <colorScale>
        <cfvo type="num" val="0"/>
        <cfvo type="num" val="0.4"/>
        <color rgb="FF00B050"/>
        <color rgb="FFFF0000"/>
      </colorScale>
    </cfRule>
  </conditionalFormatting>
  <conditionalFormatting sqref="AD20">
    <cfRule type="colorScale" priority="14">
      <colorScale>
        <cfvo type="num" val="0"/>
        <cfvo type="num" val="0.4"/>
        <color rgb="FF00B050"/>
        <color rgb="FFFF0000"/>
      </colorScale>
    </cfRule>
  </conditionalFormatting>
  <conditionalFormatting sqref="X27:AA27 U27:V27">
    <cfRule type="colorScale" priority="13">
      <colorScale>
        <cfvo type="num" val="0"/>
        <cfvo type="num" val="0.4"/>
        <color rgb="FF00B050"/>
        <color rgb="FFFF0000"/>
      </colorScale>
    </cfRule>
  </conditionalFormatting>
  <conditionalFormatting sqref="W27">
    <cfRule type="colorScale" priority="12">
      <colorScale>
        <cfvo type="num" val="0"/>
        <cfvo type="num" val="0.4"/>
        <color rgb="FF00B050"/>
        <color rgb="FFFF0000"/>
      </colorScale>
    </cfRule>
  </conditionalFormatting>
  <conditionalFormatting sqref="AB27">
    <cfRule type="colorScale" priority="11">
      <colorScale>
        <cfvo type="num" val="0"/>
        <cfvo type="num" val="0.4"/>
        <color rgb="FF00B050"/>
        <color rgb="FFFF0000"/>
      </colorScale>
    </cfRule>
  </conditionalFormatting>
  <conditionalFormatting sqref="M3">
    <cfRule type="cellIs" dxfId="28" priority="9" operator="between">
      <formula>0.5</formula>
      <formula>1</formula>
    </cfRule>
    <cfRule type="cellIs" dxfId="27" priority="10" operator="between">
      <formula>-1</formula>
      <formula>0.499999</formula>
    </cfRule>
  </conditionalFormatting>
  <conditionalFormatting sqref="N3:N402">
    <cfRule type="cellIs" dxfId="26" priority="1" operator="greaterThan">
      <formula>130</formula>
    </cfRule>
    <cfRule type="cellIs" dxfId="25" priority="2" operator="lessThan">
      <formula>50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411"/>
  <sheetViews>
    <sheetView zoomScale="60" zoomScaleNormal="60" workbookViewId="0">
      <pane ySplit="660" topLeftCell="A91" activePane="bottomLeft"/>
      <selection activeCell="AH157" sqref="AH157"/>
      <selection pane="bottomLeft" activeCell="K21" sqref="K21"/>
    </sheetView>
  </sheetViews>
  <sheetFormatPr defaultColWidth="11.453125" defaultRowHeight="33" customHeight="1" x14ac:dyDescent="0.35"/>
  <cols>
    <col min="1" max="1" width="26.54296875" style="404" customWidth="1"/>
    <col min="2" max="2" width="14.453125" style="404" customWidth="1"/>
    <col min="3" max="3" width="22" style="404" customWidth="1"/>
    <col min="4" max="4" width="24.453125" style="404"/>
    <col min="5" max="5" width="27.54296875" style="404" customWidth="1"/>
    <col min="6" max="6" width="22.54296875" style="403" customWidth="1"/>
    <col min="7" max="7" width="9.453125" style="333" customWidth="1"/>
    <col min="8" max="8" width="10.1796875" style="333" customWidth="1"/>
    <col min="9" max="9" width="8.1796875" style="333" customWidth="1"/>
    <col min="10" max="10" width="10.453125" style="333" customWidth="1"/>
    <col min="11" max="11" width="10.54296875" style="333"/>
    <col min="12" max="12" width="11.453125" style="333" customWidth="1"/>
    <col min="13" max="13" width="16.1796875" style="465" customWidth="1"/>
    <col min="14" max="14" width="28.453125" style="401" customWidth="1"/>
    <col min="15" max="15" width="4.453125" style="401" customWidth="1"/>
    <col min="16" max="16" width="25.54296875" style="401" customWidth="1"/>
    <col min="17" max="17" width="9.54296875" style="401" customWidth="1"/>
    <col min="18" max="18" width="11.453125" style="401" customWidth="1"/>
    <col min="19" max="19" width="4" style="401" customWidth="1"/>
    <col min="20" max="20" width="10.453125" style="401" customWidth="1"/>
    <col min="21" max="21" width="8.1796875" style="401" customWidth="1"/>
    <col min="22" max="22" width="9.54296875" style="401" customWidth="1"/>
    <col min="23" max="23" width="12.54296875" style="401" customWidth="1"/>
    <col min="24" max="24" width="11" style="401" customWidth="1"/>
    <col min="25" max="25" width="9.54296875" style="401" customWidth="1"/>
    <col min="26" max="26" width="22" style="401" customWidth="1"/>
    <col min="27" max="27" width="5" style="401" customWidth="1"/>
    <col min="28" max="28" width="11.453125" style="401" customWidth="1"/>
    <col min="29" max="29" width="8.54296875" style="401" customWidth="1"/>
    <col min="30" max="30" width="10.453125" style="401" customWidth="1"/>
    <col min="31" max="31" width="12.54296875" style="401" customWidth="1"/>
    <col min="32" max="32" width="13.54296875" style="401" customWidth="1"/>
    <col min="33" max="33" width="12" style="401" customWidth="1"/>
    <col min="34" max="34" width="20" style="401" customWidth="1"/>
    <col min="35" max="44" width="10.54296875" style="401"/>
    <col min="45" max="16384" width="11.453125" style="402"/>
  </cols>
  <sheetData>
    <row r="1" spans="1:34" ht="39.75" customHeight="1" x14ac:dyDescent="0.35">
      <c r="A1" s="636" t="s">
        <v>1967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487"/>
      <c r="T1" s="638" t="s">
        <v>1968</v>
      </c>
      <c r="U1" s="638"/>
      <c r="V1" s="638"/>
      <c r="W1" s="638"/>
      <c r="X1" s="638"/>
      <c r="Y1" s="638"/>
      <c r="Z1" s="638"/>
      <c r="AB1" s="635" t="s">
        <v>2019</v>
      </c>
      <c r="AC1" s="635"/>
      <c r="AD1" s="635"/>
      <c r="AE1" s="635"/>
      <c r="AF1" s="635"/>
      <c r="AG1" s="635"/>
      <c r="AH1" s="635"/>
    </row>
    <row r="2" spans="1:34" ht="33" customHeight="1" x14ac:dyDescent="0.35">
      <c r="A2" s="403"/>
      <c r="G2" s="642" t="s">
        <v>989</v>
      </c>
      <c r="H2" s="643"/>
      <c r="I2" s="644"/>
      <c r="J2" s="642" t="s">
        <v>1816</v>
      </c>
      <c r="K2" s="643"/>
      <c r="L2" s="644"/>
      <c r="M2" s="405" t="s">
        <v>0</v>
      </c>
      <c r="N2" s="487" t="s">
        <v>1966</v>
      </c>
      <c r="P2" s="406" t="s">
        <v>966</v>
      </c>
      <c r="Q2" s="407" t="s">
        <v>1940</v>
      </c>
      <c r="R2" s="408" t="s">
        <v>1941</v>
      </c>
      <c r="T2" s="645" t="s">
        <v>989</v>
      </c>
      <c r="U2" s="646"/>
      <c r="V2" s="646"/>
      <c r="W2" s="639" t="s">
        <v>1816</v>
      </c>
      <c r="X2" s="640"/>
      <c r="Y2" s="641"/>
      <c r="Z2" s="89" t="s">
        <v>2034</v>
      </c>
      <c r="AB2" s="645" t="s">
        <v>989</v>
      </c>
      <c r="AC2" s="646"/>
      <c r="AD2" s="646"/>
      <c r="AE2" s="639" t="s">
        <v>1816</v>
      </c>
      <c r="AF2" s="640"/>
      <c r="AG2" s="641"/>
      <c r="AH2" s="89" t="s">
        <v>2034</v>
      </c>
    </row>
    <row r="3" spans="1:34" ht="33" customHeight="1" x14ac:dyDescent="0.35">
      <c r="A3" s="224" t="s">
        <v>1</v>
      </c>
      <c r="B3" s="94" t="s">
        <v>2</v>
      </c>
      <c r="C3" s="94" t="s">
        <v>3</v>
      </c>
      <c r="D3" s="94" t="s">
        <v>913</v>
      </c>
      <c r="E3" s="94" t="s">
        <v>4</v>
      </c>
      <c r="F3" s="95" t="s">
        <v>5</v>
      </c>
      <c r="G3" s="88" t="s">
        <v>990</v>
      </c>
      <c r="H3" s="87" t="s">
        <v>991</v>
      </c>
      <c r="I3" s="87" t="s">
        <v>1958</v>
      </c>
      <c r="J3" s="88" t="s">
        <v>990</v>
      </c>
      <c r="K3" s="87" t="s">
        <v>991</v>
      </c>
      <c r="L3" s="87" t="s">
        <v>1958</v>
      </c>
      <c r="M3" s="224" t="s">
        <v>8</v>
      </c>
      <c r="N3" s="409" t="s">
        <v>8</v>
      </c>
      <c r="P3" s="410" t="s">
        <v>901</v>
      </c>
      <c r="Q3" s="411">
        <f>MAX($G$4:$G$403)</f>
        <v>4</v>
      </c>
      <c r="R3" s="412">
        <f>MEDIAN($G$4:$G$403)</f>
        <v>0</v>
      </c>
      <c r="T3" s="88" t="s">
        <v>990</v>
      </c>
      <c r="U3" s="87" t="s">
        <v>991</v>
      </c>
      <c r="V3" s="87" t="s">
        <v>1958</v>
      </c>
      <c r="W3" s="88" t="s">
        <v>990</v>
      </c>
      <c r="X3" s="87" t="s">
        <v>991</v>
      </c>
      <c r="Y3" s="87" t="s">
        <v>1958</v>
      </c>
      <c r="Z3" s="466" t="s">
        <v>8</v>
      </c>
      <c r="AB3" s="88" t="s">
        <v>990</v>
      </c>
      <c r="AC3" s="87" t="s">
        <v>991</v>
      </c>
      <c r="AD3" s="87" t="s">
        <v>1958</v>
      </c>
      <c r="AE3" s="88" t="s">
        <v>990</v>
      </c>
      <c r="AF3" s="87" t="s">
        <v>991</v>
      </c>
      <c r="AG3" s="87" t="s">
        <v>1958</v>
      </c>
      <c r="AH3" s="466" t="s">
        <v>8</v>
      </c>
    </row>
    <row r="4" spans="1:34" ht="33" customHeight="1" x14ac:dyDescent="0.35">
      <c r="A4" s="413" t="s">
        <v>9</v>
      </c>
      <c r="B4" s="260" t="s">
        <v>10</v>
      </c>
      <c r="C4" s="259" t="s">
        <v>11</v>
      </c>
      <c r="D4" s="260" t="s">
        <v>918</v>
      </c>
      <c r="E4" s="260" t="s">
        <v>12</v>
      </c>
      <c r="F4" s="414"/>
      <c r="G4" s="429">
        <v>0</v>
      </c>
      <c r="H4" s="430">
        <v>0</v>
      </c>
      <c r="I4" s="431">
        <v>0</v>
      </c>
      <c r="J4" s="432">
        <v>0.18181818181818174</v>
      </c>
      <c r="K4" s="433">
        <v>0.55000000000000004</v>
      </c>
      <c r="L4" s="434">
        <v>0.34545454545454546</v>
      </c>
      <c r="M4" s="435">
        <v>95.663053001651349</v>
      </c>
      <c r="N4" s="420">
        <v>-95.663053001651349</v>
      </c>
      <c r="P4" s="410" t="s">
        <v>906</v>
      </c>
      <c r="Q4" s="411">
        <f>MAX($H$4:$H$403)</f>
        <v>4</v>
      </c>
      <c r="R4" s="412">
        <f>MEDIAN($H$4:$H$403)</f>
        <v>0</v>
      </c>
      <c r="T4" s="415">
        <f t="shared" ref="T4:T67" si="0">(G4-$R$3)/($Q$3-$R$3)</f>
        <v>0</v>
      </c>
      <c r="U4" s="416">
        <f t="shared" ref="U4:U67" si="1">(H4-$R$4)/($Q$4-$R$4)</f>
        <v>0</v>
      </c>
      <c r="V4" s="416">
        <f t="shared" ref="V4:V67" si="2">(I4-$R$5)/($Q$5-$R$5)</f>
        <v>0</v>
      </c>
      <c r="W4" s="417">
        <f t="shared" ref="W4:W67" si="3">(J4-$R$7)/($Q$7-$R$7)</f>
        <v>5.2631578947368286E-2</v>
      </c>
      <c r="X4" s="418">
        <f t="shared" ref="X4:X67" si="4">(K4-$R$8)/($Q$8-$R$8)</f>
        <v>0.4375</v>
      </c>
      <c r="Y4" s="419">
        <f t="shared" ref="Y4:Y67" si="5">(L4-$R$9)/($Q$9-$R$9)</f>
        <v>0.12727272727272729</v>
      </c>
      <c r="Z4" s="419">
        <f>(N4-$R$11)/($Q$11-$R$11)</f>
        <v>-5.6576398880882818E-2</v>
      </c>
      <c r="AB4" s="429">
        <f>IF(T4&lt;0,0,T4)</f>
        <v>0</v>
      </c>
      <c r="AC4" s="430">
        <f t="shared" ref="AC4:AH19" si="6">IF(U4&lt;0,0,U4)</f>
        <v>0</v>
      </c>
      <c r="AD4" s="430">
        <f t="shared" si="6"/>
        <v>0</v>
      </c>
      <c r="AE4" s="432">
        <f t="shared" si="6"/>
        <v>5.2631578947368286E-2</v>
      </c>
      <c r="AF4" s="433">
        <f t="shared" si="6"/>
        <v>0.4375</v>
      </c>
      <c r="AG4" s="434">
        <f t="shared" si="6"/>
        <v>0.12727272727272729</v>
      </c>
      <c r="AH4" s="434">
        <f t="shared" si="6"/>
        <v>0</v>
      </c>
    </row>
    <row r="5" spans="1:34" ht="33" customHeight="1" x14ac:dyDescent="0.35">
      <c r="A5" s="413" t="s">
        <v>9</v>
      </c>
      <c r="B5" s="260" t="s">
        <v>13</v>
      </c>
      <c r="C5" s="259" t="s">
        <v>14</v>
      </c>
      <c r="D5" s="260" t="s">
        <v>920</v>
      </c>
      <c r="E5" s="260" t="s">
        <v>15</v>
      </c>
      <c r="F5" s="414"/>
      <c r="G5" s="429">
        <v>1</v>
      </c>
      <c r="H5" s="430">
        <v>0</v>
      </c>
      <c r="I5" s="431">
        <v>0</v>
      </c>
      <c r="J5" s="432">
        <v>0.31818181818181829</v>
      </c>
      <c r="K5" s="433">
        <v>0.44999999999999996</v>
      </c>
      <c r="L5" s="434">
        <v>0.5636363636363636</v>
      </c>
      <c r="M5" s="435">
        <v>108.7821437860199</v>
      </c>
      <c r="N5" s="420">
        <v>-108.7821437860199</v>
      </c>
      <c r="P5" s="421" t="s">
        <v>912</v>
      </c>
      <c r="Q5" s="422">
        <f>MAX($I$4:$I$403)</f>
        <v>4</v>
      </c>
      <c r="R5" s="423">
        <f>MEDIAN($I$4:$I$403)</f>
        <v>0</v>
      </c>
      <c r="T5" s="415">
        <f t="shared" si="0"/>
        <v>0.25</v>
      </c>
      <c r="U5" s="416">
        <f t="shared" si="1"/>
        <v>0</v>
      </c>
      <c r="V5" s="416">
        <f t="shared" si="2"/>
        <v>0</v>
      </c>
      <c r="W5" s="417">
        <f t="shared" si="3"/>
        <v>0.21052631578947378</v>
      </c>
      <c r="X5" s="418">
        <f t="shared" si="4"/>
        <v>0.31249999999999989</v>
      </c>
      <c r="Y5" s="419">
        <f t="shared" si="5"/>
        <v>0.41818181818181815</v>
      </c>
      <c r="Z5" s="419">
        <f t="shared" ref="Z5:Z68" si="7">(N5-$R$11)/($Q$11-$R$11)</f>
        <v>-0.17846010763077488</v>
      </c>
      <c r="AB5" s="429">
        <f t="shared" ref="AB5:AH54" si="8">IF(T5&lt;0,0,T5)</f>
        <v>0.25</v>
      </c>
      <c r="AC5" s="430">
        <f t="shared" si="6"/>
        <v>0</v>
      </c>
      <c r="AD5" s="430">
        <f t="shared" si="6"/>
        <v>0</v>
      </c>
      <c r="AE5" s="432">
        <f t="shared" si="6"/>
        <v>0.21052631578947378</v>
      </c>
      <c r="AF5" s="433">
        <f t="shared" si="6"/>
        <v>0.31249999999999989</v>
      </c>
      <c r="AG5" s="434">
        <f t="shared" si="6"/>
        <v>0.41818181818181815</v>
      </c>
      <c r="AH5" s="434">
        <f t="shared" si="6"/>
        <v>0</v>
      </c>
    </row>
    <row r="6" spans="1:34" ht="33" customHeight="1" x14ac:dyDescent="0.35">
      <c r="A6" s="413" t="s">
        <v>9</v>
      </c>
      <c r="B6" s="260" t="s">
        <v>16</v>
      </c>
      <c r="C6" s="259" t="s">
        <v>17</v>
      </c>
      <c r="D6" s="260" t="s">
        <v>923</v>
      </c>
      <c r="E6" s="260" t="s">
        <v>18</v>
      </c>
      <c r="F6" s="414"/>
      <c r="G6" s="429">
        <v>0</v>
      </c>
      <c r="H6" s="430">
        <v>0</v>
      </c>
      <c r="I6" s="431">
        <v>0</v>
      </c>
      <c r="J6" s="432">
        <v>0.18181818181818174</v>
      </c>
      <c r="K6" s="433">
        <v>0.15</v>
      </c>
      <c r="L6" s="434">
        <v>0.18181818181818302</v>
      </c>
      <c r="M6" s="435">
        <v>93.73970914334744</v>
      </c>
      <c r="N6" s="420">
        <v>-93.73970914334744</v>
      </c>
      <c r="P6" s="406" t="s">
        <v>967</v>
      </c>
      <c r="Q6" s="424"/>
      <c r="R6" s="425"/>
      <c r="T6" s="415">
        <f t="shared" si="0"/>
        <v>0</v>
      </c>
      <c r="U6" s="416">
        <f t="shared" si="1"/>
        <v>0</v>
      </c>
      <c r="V6" s="416">
        <f t="shared" si="2"/>
        <v>0</v>
      </c>
      <c r="W6" s="417">
        <f t="shared" si="3"/>
        <v>5.2631578947368286E-2</v>
      </c>
      <c r="X6" s="418">
        <f t="shared" si="4"/>
        <v>-6.2500000000000014E-2</v>
      </c>
      <c r="Y6" s="419">
        <f t="shared" si="5"/>
        <v>-9.0909090909089316E-2</v>
      </c>
      <c r="Z6" s="419">
        <f t="shared" si="7"/>
        <v>-3.8707456093267929E-2</v>
      </c>
      <c r="AB6" s="429">
        <f t="shared" si="8"/>
        <v>0</v>
      </c>
      <c r="AC6" s="430">
        <f t="shared" si="6"/>
        <v>0</v>
      </c>
      <c r="AD6" s="430">
        <f t="shared" si="6"/>
        <v>0</v>
      </c>
      <c r="AE6" s="432">
        <f t="shared" si="6"/>
        <v>5.2631578947368286E-2</v>
      </c>
      <c r="AF6" s="433">
        <f t="shared" si="6"/>
        <v>0</v>
      </c>
      <c r="AG6" s="434">
        <f t="shared" si="6"/>
        <v>0</v>
      </c>
      <c r="AH6" s="434">
        <f t="shared" si="6"/>
        <v>0</v>
      </c>
    </row>
    <row r="7" spans="1:34" ht="33" customHeight="1" x14ac:dyDescent="0.35">
      <c r="A7" s="426" t="s">
        <v>9</v>
      </c>
      <c r="B7" s="427" t="s">
        <v>19</v>
      </c>
      <c r="C7" s="428" t="s">
        <v>20</v>
      </c>
      <c r="D7" s="461" t="s">
        <v>993</v>
      </c>
      <c r="E7" s="260" t="s">
        <v>21</v>
      </c>
      <c r="F7" s="414" t="s">
        <v>22</v>
      </c>
      <c r="G7" s="429">
        <v>2</v>
      </c>
      <c r="H7" s="430">
        <v>4</v>
      </c>
      <c r="I7" s="431">
        <v>4</v>
      </c>
      <c r="J7" s="432">
        <v>0.31818181818181829</v>
      </c>
      <c r="K7" s="433">
        <v>0.8</v>
      </c>
      <c r="L7" s="434">
        <v>0.94545454545454544</v>
      </c>
      <c r="M7" s="435">
        <v>7.2266870356711905</v>
      </c>
      <c r="N7" s="420">
        <v>-7.2266870356711905</v>
      </c>
      <c r="P7" s="410" t="s">
        <v>901</v>
      </c>
      <c r="Q7" s="436">
        <f>MAX($J$4:$J$403)</f>
        <v>1</v>
      </c>
      <c r="R7" s="437">
        <f>MEDIAN($J$4:$J$403)</f>
        <v>0.13636363636363641</v>
      </c>
      <c r="T7" s="415">
        <f t="shared" si="0"/>
        <v>0.5</v>
      </c>
      <c r="U7" s="416">
        <f t="shared" si="1"/>
        <v>1</v>
      </c>
      <c r="V7" s="416">
        <f t="shared" si="2"/>
        <v>1</v>
      </c>
      <c r="W7" s="417">
        <f t="shared" si="3"/>
        <v>0.21052631578947378</v>
      </c>
      <c r="X7" s="418">
        <f t="shared" si="4"/>
        <v>0.75000000000000011</v>
      </c>
      <c r="Y7" s="419">
        <f t="shared" si="5"/>
        <v>0.92727272727272725</v>
      </c>
      <c r="Z7" s="419">
        <f t="shared" si="7"/>
        <v>0.76504702376815914</v>
      </c>
      <c r="AB7" s="429">
        <f t="shared" si="8"/>
        <v>0.5</v>
      </c>
      <c r="AC7" s="430">
        <f t="shared" si="6"/>
        <v>1</v>
      </c>
      <c r="AD7" s="430">
        <f t="shared" si="6"/>
        <v>1</v>
      </c>
      <c r="AE7" s="432">
        <f t="shared" si="6"/>
        <v>0.21052631578947378</v>
      </c>
      <c r="AF7" s="433">
        <f t="shared" si="6"/>
        <v>0.75000000000000011</v>
      </c>
      <c r="AG7" s="434">
        <f t="shared" si="6"/>
        <v>0.92727272727272725</v>
      </c>
      <c r="AH7" s="434">
        <f t="shared" si="6"/>
        <v>0.76504702376815914</v>
      </c>
    </row>
    <row r="8" spans="1:34" ht="33" customHeight="1" x14ac:dyDescent="0.35">
      <c r="A8" s="413" t="s">
        <v>9</v>
      </c>
      <c r="B8" s="260" t="s">
        <v>23</v>
      </c>
      <c r="C8" s="259" t="s">
        <v>24</v>
      </c>
      <c r="D8" s="260" t="s">
        <v>919</v>
      </c>
      <c r="E8" s="260" t="s">
        <v>25</v>
      </c>
      <c r="F8" s="414"/>
      <c r="G8" s="429">
        <v>1</v>
      </c>
      <c r="H8" s="430">
        <v>0</v>
      </c>
      <c r="I8" s="431">
        <v>0</v>
      </c>
      <c r="J8" s="432">
        <v>0.13636363636363641</v>
      </c>
      <c r="K8" s="433">
        <v>0.15</v>
      </c>
      <c r="L8" s="434">
        <v>0.18181818181818302</v>
      </c>
      <c r="M8" s="435">
        <v>97.100876937622388</v>
      </c>
      <c r="N8" s="420">
        <v>-97.100876937622388</v>
      </c>
      <c r="P8" s="410" t="s">
        <v>906</v>
      </c>
      <c r="Q8" s="438">
        <f>MAX($K$4:$K$403)</f>
        <v>1</v>
      </c>
      <c r="R8" s="439">
        <f>MEDIAN($K$4:$K$403)</f>
        <v>0.2</v>
      </c>
      <c r="T8" s="415">
        <f t="shared" si="0"/>
        <v>0.25</v>
      </c>
      <c r="U8" s="416">
        <f t="shared" si="1"/>
        <v>0</v>
      </c>
      <c r="V8" s="416">
        <f t="shared" si="2"/>
        <v>0</v>
      </c>
      <c r="W8" s="417">
        <f t="shared" si="3"/>
        <v>0</v>
      </c>
      <c r="X8" s="418">
        <f t="shared" si="4"/>
        <v>-6.2500000000000014E-2</v>
      </c>
      <c r="Y8" s="419">
        <f t="shared" si="5"/>
        <v>-9.0909090909089316E-2</v>
      </c>
      <c r="Z8" s="419">
        <f t="shared" si="7"/>
        <v>-6.9934589377919812E-2</v>
      </c>
      <c r="AB8" s="429">
        <f t="shared" si="8"/>
        <v>0.25</v>
      </c>
      <c r="AC8" s="430">
        <f t="shared" si="6"/>
        <v>0</v>
      </c>
      <c r="AD8" s="430">
        <f t="shared" si="6"/>
        <v>0</v>
      </c>
      <c r="AE8" s="432">
        <f t="shared" si="6"/>
        <v>0</v>
      </c>
      <c r="AF8" s="433">
        <f t="shared" si="6"/>
        <v>0</v>
      </c>
      <c r="AG8" s="434">
        <f t="shared" si="6"/>
        <v>0</v>
      </c>
      <c r="AH8" s="434">
        <f t="shared" si="6"/>
        <v>0</v>
      </c>
    </row>
    <row r="9" spans="1:34" ht="33" customHeight="1" x14ac:dyDescent="0.35">
      <c r="A9" s="413" t="s">
        <v>9</v>
      </c>
      <c r="B9" s="260" t="s">
        <v>26</v>
      </c>
      <c r="C9" s="259" t="s">
        <v>27</v>
      </c>
      <c r="D9" s="260" t="s">
        <v>916</v>
      </c>
      <c r="E9" s="260" t="s">
        <v>28</v>
      </c>
      <c r="F9" s="414"/>
      <c r="G9" s="429">
        <v>0</v>
      </c>
      <c r="H9" s="430">
        <v>1</v>
      </c>
      <c r="I9" s="431">
        <v>0</v>
      </c>
      <c r="J9" s="432">
        <v>9.0909090909090939E-2</v>
      </c>
      <c r="K9" s="433">
        <v>0.25</v>
      </c>
      <c r="L9" s="434">
        <v>0.23636363636363755</v>
      </c>
      <c r="M9" s="435">
        <v>89.690714743749226</v>
      </c>
      <c r="N9" s="420">
        <v>-89.690714743749226</v>
      </c>
      <c r="P9" s="421" t="s">
        <v>912</v>
      </c>
      <c r="Q9" s="440">
        <f>MAX($L$4:$L$403)</f>
        <v>1</v>
      </c>
      <c r="R9" s="441">
        <f>MEDIAN($L$4:$L$403)</f>
        <v>0.25</v>
      </c>
      <c r="T9" s="415">
        <f t="shared" si="0"/>
        <v>0</v>
      </c>
      <c r="U9" s="416">
        <f t="shared" si="1"/>
        <v>0.25</v>
      </c>
      <c r="V9" s="416">
        <f t="shared" si="2"/>
        <v>0</v>
      </c>
      <c r="W9" s="417">
        <f t="shared" si="3"/>
        <v>-5.2631578947368446E-2</v>
      </c>
      <c r="X9" s="418">
        <f t="shared" si="4"/>
        <v>6.2499999999999986E-2</v>
      </c>
      <c r="Y9" s="419">
        <f t="shared" si="5"/>
        <v>-1.8181818181816595E-2</v>
      </c>
      <c r="Z9" s="419">
        <f t="shared" si="7"/>
        <v>-1.0900280075817046E-3</v>
      </c>
      <c r="AB9" s="429">
        <f t="shared" si="8"/>
        <v>0</v>
      </c>
      <c r="AC9" s="430">
        <f t="shared" si="6"/>
        <v>0.25</v>
      </c>
      <c r="AD9" s="430">
        <f t="shared" si="6"/>
        <v>0</v>
      </c>
      <c r="AE9" s="432">
        <f t="shared" si="6"/>
        <v>0</v>
      </c>
      <c r="AF9" s="433">
        <f t="shared" si="6"/>
        <v>6.2499999999999986E-2</v>
      </c>
      <c r="AG9" s="434">
        <f t="shared" si="6"/>
        <v>0</v>
      </c>
      <c r="AH9" s="434">
        <f t="shared" si="6"/>
        <v>0</v>
      </c>
    </row>
    <row r="10" spans="1:34" ht="33" customHeight="1" x14ac:dyDescent="0.35">
      <c r="A10" s="413" t="s">
        <v>9</v>
      </c>
      <c r="B10" s="260" t="s">
        <v>29</v>
      </c>
      <c r="C10" s="259" t="s">
        <v>30</v>
      </c>
      <c r="D10" s="260" t="s">
        <v>916</v>
      </c>
      <c r="E10" s="260" t="s">
        <v>31</v>
      </c>
      <c r="F10" s="414"/>
      <c r="G10" s="429">
        <v>0</v>
      </c>
      <c r="H10" s="430">
        <v>0</v>
      </c>
      <c r="I10" s="431">
        <v>0</v>
      </c>
      <c r="J10" s="432">
        <v>0.13636363636363641</v>
      </c>
      <c r="K10" s="433">
        <v>0.2</v>
      </c>
      <c r="L10" s="434">
        <v>0.18181818181818302</v>
      </c>
      <c r="M10" s="435">
        <v>76.235930247105443</v>
      </c>
      <c r="N10" s="420">
        <v>-76.235930247105443</v>
      </c>
      <c r="P10" s="442" t="s">
        <v>2033</v>
      </c>
      <c r="Q10" s="443"/>
      <c r="R10" s="444"/>
      <c r="T10" s="415">
        <f t="shared" si="0"/>
        <v>0</v>
      </c>
      <c r="U10" s="416">
        <f t="shared" si="1"/>
        <v>0</v>
      </c>
      <c r="V10" s="416">
        <f t="shared" si="2"/>
        <v>0</v>
      </c>
      <c r="W10" s="417">
        <f t="shared" si="3"/>
        <v>0</v>
      </c>
      <c r="X10" s="418">
        <f t="shared" si="4"/>
        <v>0</v>
      </c>
      <c r="Y10" s="419">
        <f t="shared" si="5"/>
        <v>-9.0909090909089316E-2</v>
      </c>
      <c r="Z10" s="419">
        <f t="shared" si="7"/>
        <v>0.12391246353973376</v>
      </c>
      <c r="AB10" s="429">
        <f t="shared" si="8"/>
        <v>0</v>
      </c>
      <c r="AC10" s="430">
        <f t="shared" si="6"/>
        <v>0</v>
      </c>
      <c r="AD10" s="430">
        <f t="shared" si="6"/>
        <v>0</v>
      </c>
      <c r="AE10" s="432">
        <f t="shared" si="6"/>
        <v>0</v>
      </c>
      <c r="AF10" s="433">
        <f t="shared" si="6"/>
        <v>0</v>
      </c>
      <c r="AG10" s="434">
        <f t="shared" si="6"/>
        <v>0</v>
      </c>
      <c r="AH10" s="434">
        <f t="shared" si="6"/>
        <v>0.12391246353973376</v>
      </c>
    </row>
    <row r="11" spans="1:34" ht="33" customHeight="1" x14ac:dyDescent="0.35">
      <c r="A11" s="413" t="s">
        <v>9</v>
      </c>
      <c r="B11" s="260" t="s">
        <v>32</v>
      </c>
      <c r="C11" s="259" t="s">
        <v>33</v>
      </c>
      <c r="D11" s="260" t="s">
        <v>916</v>
      </c>
      <c r="E11" s="260" t="s">
        <v>34</v>
      </c>
      <c r="F11" s="414"/>
      <c r="G11" s="429">
        <v>2</v>
      </c>
      <c r="H11" s="430">
        <v>4</v>
      </c>
      <c r="I11" s="431">
        <v>4</v>
      </c>
      <c r="J11" s="452">
        <v>0</v>
      </c>
      <c r="K11" s="453">
        <v>0</v>
      </c>
      <c r="L11" s="454">
        <v>0</v>
      </c>
      <c r="M11" s="455">
        <v>-3.4043055342623143</v>
      </c>
      <c r="N11" s="420">
        <v>3.4043055342623143</v>
      </c>
      <c r="P11" s="421" t="s">
        <v>912</v>
      </c>
      <c r="Q11" s="617">
        <f>MAX($N$4:$N$290)</f>
        <v>18.0627421822089</v>
      </c>
      <c r="R11" s="618">
        <f>MEDIAN($N$4:$N$403)</f>
        <v>-89.573388346844837</v>
      </c>
      <c r="T11" s="415">
        <f t="shared" si="0"/>
        <v>0.5</v>
      </c>
      <c r="U11" s="416">
        <f t="shared" si="1"/>
        <v>1</v>
      </c>
      <c r="V11" s="416">
        <f t="shared" si="2"/>
        <v>1</v>
      </c>
      <c r="W11" s="417">
        <f t="shared" si="3"/>
        <v>-0.15789473684210534</v>
      </c>
      <c r="X11" s="418">
        <f t="shared" si="4"/>
        <v>-0.25</v>
      </c>
      <c r="Y11" s="419">
        <f t="shared" si="5"/>
        <v>-0.33333333333333331</v>
      </c>
      <c r="Z11" s="419">
        <f t="shared" si="7"/>
        <v>0.8638149051262124</v>
      </c>
      <c r="AB11" s="429">
        <f t="shared" si="8"/>
        <v>0.5</v>
      </c>
      <c r="AC11" s="430">
        <f t="shared" si="6"/>
        <v>1</v>
      </c>
      <c r="AD11" s="430">
        <f t="shared" si="6"/>
        <v>1</v>
      </c>
      <c r="AE11" s="432">
        <f t="shared" si="6"/>
        <v>0</v>
      </c>
      <c r="AF11" s="433">
        <f t="shared" si="6"/>
        <v>0</v>
      </c>
      <c r="AG11" s="434">
        <f t="shared" si="6"/>
        <v>0</v>
      </c>
      <c r="AH11" s="434">
        <f t="shared" si="6"/>
        <v>0.8638149051262124</v>
      </c>
    </row>
    <row r="12" spans="1:34" ht="33" customHeight="1" x14ac:dyDescent="0.35">
      <c r="A12" s="413" t="s">
        <v>9</v>
      </c>
      <c r="B12" s="260" t="s">
        <v>35</v>
      </c>
      <c r="C12" s="259" t="s">
        <v>36</v>
      </c>
      <c r="D12" s="260" t="s">
        <v>916</v>
      </c>
      <c r="E12" s="260" t="s">
        <v>37</v>
      </c>
      <c r="F12" s="414"/>
      <c r="G12" s="429">
        <v>0</v>
      </c>
      <c r="H12" s="430">
        <v>0</v>
      </c>
      <c r="I12" s="431">
        <v>0</v>
      </c>
      <c r="J12" s="432">
        <v>9.0909090909090939E-2</v>
      </c>
      <c r="K12" s="433">
        <v>0.25</v>
      </c>
      <c r="L12" s="434">
        <v>0.23636363636363755</v>
      </c>
      <c r="M12" s="435">
        <v>105.64872714203432</v>
      </c>
      <c r="N12" s="420">
        <v>-105.64872714203432</v>
      </c>
      <c r="Q12" s="407"/>
      <c r="R12" s="407"/>
      <c r="T12" s="415">
        <f t="shared" si="0"/>
        <v>0</v>
      </c>
      <c r="U12" s="416">
        <f t="shared" si="1"/>
        <v>0</v>
      </c>
      <c r="V12" s="416">
        <f t="shared" si="2"/>
        <v>0</v>
      </c>
      <c r="W12" s="417">
        <f t="shared" si="3"/>
        <v>-5.2631578947368446E-2</v>
      </c>
      <c r="X12" s="418">
        <f t="shared" si="4"/>
        <v>6.2499999999999986E-2</v>
      </c>
      <c r="Y12" s="419">
        <f t="shared" si="5"/>
        <v>-1.8181818181816595E-2</v>
      </c>
      <c r="Z12" s="419">
        <f t="shared" si="7"/>
        <v>-0.14934891022350844</v>
      </c>
      <c r="AB12" s="429">
        <f t="shared" si="8"/>
        <v>0</v>
      </c>
      <c r="AC12" s="430">
        <f t="shared" si="6"/>
        <v>0</v>
      </c>
      <c r="AD12" s="430">
        <f t="shared" si="6"/>
        <v>0</v>
      </c>
      <c r="AE12" s="432">
        <f t="shared" si="6"/>
        <v>0</v>
      </c>
      <c r="AF12" s="433">
        <f t="shared" si="6"/>
        <v>6.2499999999999986E-2</v>
      </c>
      <c r="AG12" s="434">
        <f t="shared" si="6"/>
        <v>0</v>
      </c>
      <c r="AH12" s="434">
        <f t="shared" si="6"/>
        <v>0</v>
      </c>
    </row>
    <row r="13" spans="1:34" ht="33" customHeight="1" x14ac:dyDescent="0.35">
      <c r="A13" s="413" t="s">
        <v>9</v>
      </c>
      <c r="B13" s="260" t="s">
        <v>38</v>
      </c>
      <c r="C13" s="259" t="s">
        <v>39</v>
      </c>
      <c r="D13" s="260" t="s">
        <v>916</v>
      </c>
      <c r="E13" s="260" t="s">
        <v>40</v>
      </c>
      <c r="F13" s="414"/>
      <c r="G13" s="429">
        <v>0</v>
      </c>
      <c r="H13" s="430">
        <v>0</v>
      </c>
      <c r="I13" s="431">
        <v>1</v>
      </c>
      <c r="J13" s="432">
        <v>1</v>
      </c>
      <c r="K13" s="433">
        <v>1</v>
      </c>
      <c r="L13" s="434">
        <v>1</v>
      </c>
      <c r="M13" s="435">
        <v>-7.6098549262443136</v>
      </c>
      <c r="N13" s="420">
        <v>7.6098549262443136</v>
      </c>
      <c r="Q13" s="445"/>
      <c r="R13" s="445"/>
      <c r="T13" s="415">
        <f t="shared" si="0"/>
        <v>0</v>
      </c>
      <c r="U13" s="416">
        <f t="shared" si="1"/>
        <v>0</v>
      </c>
      <c r="V13" s="416">
        <f t="shared" si="2"/>
        <v>0.25</v>
      </c>
      <c r="W13" s="417">
        <f t="shared" si="3"/>
        <v>1</v>
      </c>
      <c r="X13" s="418">
        <f t="shared" si="4"/>
        <v>1</v>
      </c>
      <c r="Y13" s="419">
        <f t="shared" si="5"/>
        <v>1</v>
      </c>
      <c r="Z13" s="419">
        <f t="shared" si="7"/>
        <v>0.90288681686542904</v>
      </c>
      <c r="AB13" s="429">
        <f t="shared" si="8"/>
        <v>0</v>
      </c>
      <c r="AC13" s="430">
        <f t="shared" si="6"/>
        <v>0</v>
      </c>
      <c r="AD13" s="430">
        <f t="shared" si="6"/>
        <v>0.25</v>
      </c>
      <c r="AE13" s="432">
        <f t="shared" si="6"/>
        <v>1</v>
      </c>
      <c r="AF13" s="433">
        <f t="shared" si="6"/>
        <v>1</v>
      </c>
      <c r="AG13" s="434">
        <f t="shared" si="6"/>
        <v>1</v>
      </c>
      <c r="AH13" s="434">
        <f t="shared" si="6"/>
        <v>0.90288681686542904</v>
      </c>
    </row>
    <row r="14" spans="1:34" ht="33" customHeight="1" x14ac:dyDescent="0.35">
      <c r="A14" s="413" t="s">
        <v>9</v>
      </c>
      <c r="B14" s="260" t="s">
        <v>41</v>
      </c>
      <c r="C14" s="259" t="s">
        <v>42</v>
      </c>
      <c r="D14" s="260" t="s">
        <v>937</v>
      </c>
      <c r="E14" s="260" t="s">
        <v>43</v>
      </c>
      <c r="F14" s="414"/>
      <c r="G14" s="429">
        <v>0</v>
      </c>
      <c r="H14" s="430">
        <v>0</v>
      </c>
      <c r="I14" s="431">
        <v>0</v>
      </c>
      <c r="J14" s="432">
        <v>0.18181818181818174</v>
      </c>
      <c r="K14" s="433">
        <v>0.2</v>
      </c>
      <c r="L14" s="434">
        <v>0.12727272727272848</v>
      </c>
      <c r="M14" s="435">
        <v>95.731005644723126</v>
      </c>
      <c r="N14" s="420">
        <v>-95.731005644723126</v>
      </c>
      <c r="P14" s="333"/>
      <c r="Q14" s="446"/>
      <c r="R14" s="333"/>
      <c r="T14" s="415">
        <f t="shared" si="0"/>
        <v>0</v>
      </c>
      <c r="U14" s="416">
        <f t="shared" si="1"/>
        <v>0</v>
      </c>
      <c r="V14" s="416">
        <f t="shared" si="2"/>
        <v>0</v>
      </c>
      <c r="W14" s="417">
        <f t="shared" si="3"/>
        <v>5.2631578947368286E-2</v>
      </c>
      <c r="X14" s="418">
        <f t="shared" si="4"/>
        <v>0</v>
      </c>
      <c r="Y14" s="419">
        <f t="shared" si="5"/>
        <v>-0.16363636363636203</v>
      </c>
      <c r="Z14" s="419">
        <f t="shared" si="7"/>
        <v>-5.7207717033419293E-2</v>
      </c>
      <c r="AB14" s="429">
        <f t="shared" si="8"/>
        <v>0</v>
      </c>
      <c r="AC14" s="430">
        <f t="shared" si="6"/>
        <v>0</v>
      </c>
      <c r="AD14" s="430">
        <f t="shared" si="6"/>
        <v>0</v>
      </c>
      <c r="AE14" s="432">
        <f t="shared" si="6"/>
        <v>5.2631578947368286E-2</v>
      </c>
      <c r="AF14" s="433">
        <f t="shared" si="6"/>
        <v>0</v>
      </c>
      <c r="AG14" s="434">
        <f t="shared" si="6"/>
        <v>0</v>
      </c>
      <c r="AH14" s="434">
        <f t="shared" si="6"/>
        <v>0</v>
      </c>
    </row>
    <row r="15" spans="1:34" ht="33" customHeight="1" x14ac:dyDescent="0.35">
      <c r="A15" s="413" t="s">
        <v>9</v>
      </c>
      <c r="B15" s="260" t="s">
        <v>44</v>
      </c>
      <c r="C15" s="259" t="s">
        <v>45</v>
      </c>
      <c r="D15" s="260" t="s">
        <v>918</v>
      </c>
      <c r="E15" s="260" t="s">
        <v>46</v>
      </c>
      <c r="F15" s="414"/>
      <c r="G15" s="429">
        <v>0</v>
      </c>
      <c r="H15" s="430">
        <v>0</v>
      </c>
      <c r="I15" s="431">
        <v>0</v>
      </c>
      <c r="J15" s="432">
        <v>0.18181818181818174</v>
      </c>
      <c r="K15" s="433">
        <v>0.2</v>
      </c>
      <c r="L15" s="434">
        <v>0.12727272727272848</v>
      </c>
      <c r="M15" s="435">
        <v>93.321658358769383</v>
      </c>
      <c r="N15" s="420">
        <v>-93.321658358769383</v>
      </c>
      <c r="Q15" s="333"/>
      <c r="R15" s="333"/>
      <c r="T15" s="415">
        <f t="shared" si="0"/>
        <v>0</v>
      </c>
      <c r="U15" s="416">
        <f t="shared" si="1"/>
        <v>0</v>
      </c>
      <c r="V15" s="416">
        <f t="shared" si="2"/>
        <v>0</v>
      </c>
      <c r="W15" s="417">
        <f t="shared" si="3"/>
        <v>5.2631578947368286E-2</v>
      </c>
      <c r="X15" s="418">
        <f t="shared" si="4"/>
        <v>0</v>
      </c>
      <c r="Y15" s="419">
        <f t="shared" si="5"/>
        <v>-0.16363636363636203</v>
      </c>
      <c r="Z15" s="419">
        <f t="shared" si="7"/>
        <v>-3.4823529919749324E-2</v>
      </c>
      <c r="AB15" s="429">
        <f t="shared" si="8"/>
        <v>0</v>
      </c>
      <c r="AC15" s="430">
        <f t="shared" si="6"/>
        <v>0</v>
      </c>
      <c r="AD15" s="430">
        <f t="shared" si="6"/>
        <v>0</v>
      </c>
      <c r="AE15" s="432">
        <f t="shared" si="6"/>
        <v>5.2631578947368286E-2</v>
      </c>
      <c r="AF15" s="433">
        <f t="shared" si="6"/>
        <v>0</v>
      </c>
      <c r="AG15" s="434">
        <f t="shared" si="6"/>
        <v>0</v>
      </c>
      <c r="AH15" s="434">
        <f t="shared" si="6"/>
        <v>0</v>
      </c>
    </row>
    <row r="16" spans="1:34" ht="33" customHeight="1" x14ac:dyDescent="0.35">
      <c r="A16" s="413" t="s">
        <v>9</v>
      </c>
      <c r="B16" s="260" t="s">
        <v>47</v>
      </c>
      <c r="C16" s="259" t="s">
        <v>48</v>
      </c>
      <c r="D16" s="260" t="s">
        <v>916</v>
      </c>
      <c r="E16" s="260" t="s">
        <v>49</v>
      </c>
      <c r="F16" s="414"/>
      <c r="G16" s="429">
        <v>0</v>
      </c>
      <c r="H16" s="430">
        <v>1</v>
      </c>
      <c r="I16" s="431">
        <v>0</v>
      </c>
      <c r="J16" s="432">
        <v>0.13636363636363641</v>
      </c>
      <c r="K16" s="433">
        <v>0.2</v>
      </c>
      <c r="L16" s="434">
        <v>0.12727272727272848</v>
      </c>
      <c r="M16" s="435">
        <v>83.854886153636627</v>
      </c>
      <c r="N16" s="420">
        <v>-83.854886153636627</v>
      </c>
      <c r="T16" s="415">
        <f t="shared" si="0"/>
        <v>0</v>
      </c>
      <c r="U16" s="416">
        <f t="shared" si="1"/>
        <v>0.25</v>
      </c>
      <c r="V16" s="416">
        <f t="shared" si="2"/>
        <v>0</v>
      </c>
      <c r="W16" s="417">
        <f t="shared" si="3"/>
        <v>0</v>
      </c>
      <c r="X16" s="418">
        <f t="shared" si="4"/>
        <v>0</v>
      </c>
      <c r="Y16" s="419">
        <f t="shared" si="5"/>
        <v>-0.16363636363636203</v>
      </c>
      <c r="Z16" s="419">
        <f t="shared" si="7"/>
        <v>5.3128091516302142E-2</v>
      </c>
      <c r="AB16" s="429">
        <f t="shared" si="8"/>
        <v>0</v>
      </c>
      <c r="AC16" s="430">
        <f t="shared" si="6"/>
        <v>0.25</v>
      </c>
      <c r="AD16" s="430">
        <f t="shared" si="6"/>
        <v>0</v>
      </c>
      <c r="AE16" s="432">
        <f t="shared" si="6"/>
        <v>0</v>
      </c>
      <c r="AF16" s="433">
        <f t="shared" si="6"/>
        <v>0</v>
      </c>
      <c r="AG16" s="434">
        <f t="shared" si="6"/>
        <v>0</v>
      </c>
      <c r="AH16" s="434">
        <f t="shared" si="6"/>
        <v>5.3128091516302142E-2</v>
      </c>
    </row>
    <row r="17" spans="1:34" ht="33" customHeight="1" x14ac:dyDescent="0.35">
      <c r="A17" s="413" t="s">
        <v>9</v>
      </c>
      <c r="B17" s="260" t="s">
        <v>50</v>
      </c>
      <c r="C17" s="259" t="s">
        <v>51</v>
      </c>
      <c r="D17" s="260" t="s">
        <v>919</v>
      </c>
      <c r="E17" s="260" t="s">
        <v>52</v>
      </c>
      <c r="F17" s="414"/>
      <c r="G17" s="429">
        <v>0</v>
      </c>
      <c r="H17" s="430">
        <v>0</v>
      </c>
      <c r="I17" s="431">
        <v>0</v>
      </c>
      <c r="J17" s="432">
        <v>0.13636363636363641</v>
      </c>
      <c r="K17" s="433">
        <v>0.2</v>
      </c>
      <c r="L17" s="434">
        <v>0.12727272727272848</v>
      </c>
      <c r="M17" s="435">
        <v>100.77948611846163</v>
      </c>
      <c r="N17" s="420">
        <v>-100.77948611846163</v>
      </c>
      <c r="T17" s="415">
        <f t="shared" si="0"/>
        <v>0</v>
      </c>
      <c r="U17" s="416">
        <f t="shared" si="1"/>
        <v>0</v>
      </c>
      <c r="V17" s="416">
        <f t="shared" si="2"/>
        <v>0</v>
      </c>
      <c r="W17" s="417">
        <f t="shared" si="3"/>
        <v>0</v>
      </c>
      <c r="X17" s="418">
        <f t="shared" si="4"/>
        <v>0</v>
      </c>
      <c r="Y17" s="419">
        <f t="shared" si="5"/>
        <v>-0.16363636363636203</v>
      </c>
      <c r="Z17" s="419">
        <f t="shared" si="7"/>
        <v>-0.10411093112077255</v>
      </c>
      <c r="AB17" s="429">
        <f t="shared" si="8"/>
        <v>0</v>
      </c>
      <c r="AC17" s="430">
        <f t="shared" si="6"/>
        <v>0</v>
      </c>
      <c r="AD17" s="430">
        <f t="shared" si="6"/>
        <v>0</v>
      </c>
      <c r="AE17" s="432">
        <f t="shared" si="6"/>
        <v>0</v>
      </c>
      <c r="AF17" s="433">
        <f t="shared" si="6"/>
        <v>0</v>
      </c>
      <c r="AG17" s="434">
        <f t="shared" si="6"/>
        <v>0</v>
      </c>
      <c r="AH17" s="434">
        <f t="shared" si="6"/>
        <v>0</v>
      </c>
    </row>
    <row r="18" spans="1:34" ht="33" customHeight="1" x14ac:dyDescent="0.35">
      <c r="A18" s="413" t="s">
        <v>9</v>
      </c>
      <c r="B18" s="260" t="s">
        <v>53</v>
      </c>
      <c r="C18" s="259" t="s">
        <v>54</v>
      </c>
      <c r="D18" s="260" t="s">
        <v>919</v>
      </c>
      <c r="E18" s="260" t="s">
        <v>55</v>
      </c>
      <c r="F18" s="414" t="s">
        <v>933</v>
      </c>
      <c r="G18" s="429">
        <v>1</v>
      </c>
      <c r="H18" s="430">
        <v>1</v>
      </c>
      <c r="I18" s="431">
        <v>2</v>
      </c>
      <c r="J18" s="432">
        <v>0.36363636363636365</v>
      </c>
      <c r="K18" s="433">
        <v>0.55000000000000004</v>
      </c>
      <c r="L18" s="434">
        <v>0.45454545454545536</v>
      </c>
      <c r="M18" s="435">
        <v>72.791438369894081</v>
      </c>
      <c r="N18" s="420">
        <v>-72.791438369894081</v>
      </c>
      <c r="T18" s="415">
        <f t="shared" si="0"/>
        <v>0.25</v>
      </c>
      <c r="U18" s="416">
        <f t="shared" si="1"/>
        <v>0.25</v>
      </c>
      <c r="V18" s="416">
        <f t="shared" si="2"/>
        <v>0.5</v>
      </c>
      <c r="W18" s="417">
        <f t="shared" si="3"/>
        <v>0.26315789473684209</v>
      </c>
      <c r="X18" s="418">
        <f t="shared" si="4"/>
        <v>0.4375</v>
      </c>
      <c r="Y18" s="419">
        <f t="shared" si="5"/>
        <v>0.27272727272727382</v>
      </c>
      <c r="Z18" s="419">
        <f t="shared" si="7"/>
        <v>0.15591372427143207</v>
      </c>
      <c r="AB18" s="429">
        <f t="shared" si="8"/>
        <v>0.25</v>
      </c>
      <c r="AC18" s="430">
        <f t="shared" si="6"/>
        <v>0.25</v>
      </c>
      <c r="AD18" s="430">
        <f t="shared" si="6"/>
        <v>0.5</v>
      </c>
      <c r="AE18" s="432">
        <f t="shared" si="6"/>
        <v>0.26315789473684209</v>
      </c>
      <c r="AF18" s="433">
        <f t="shared" si="6"/>
        <v>0.4375</v>
      </c>
      <c r="AG18" s="434">
        <f t="shared" si="6"/>
        <v>0.27272727272727382</v>
      </c>
      <c r="AH18" s="434">
        <f t="shared" si="6"/>
        <v>0.15591372427143207</v>
      </c>
    </row>
    <row r="19" spans="1:34" ht="33" customHeight="1" x14ac:dyDescent="0.35">
      <c r="A19" s="413" t="s">
        <v>9</v>
      </c>
      <c r="B19" s="260" t="s">
        <v>56</v>
      </c>
      <c r="C19" s="259" t="s">
        <v>57</v>
      </c>
      <c r="D19" s="260" t="s">
        <v>916</v>
      </c>
      <c r="E19" s="260" t="s">
        <v>58</v>
      </c>
      <c r="F19" s="414"/>
      <c r="G19" s="429">
        <v>0</v>
      </c>
      <c r="H19" s="430">
        <v>0</v>
      </c>
      <c r="I19" s="431">
        <v>0</v>
      </c>
      <c r="J19" s="432">
        <v>9.0909090909090939E-2</v>
      </c>
      <c r="K19" s="433">
        <v>0.25</v>
      </c>
      <c r="L19" s="434">
        <v>0.23636363636363755</v>
      </c>
      <c r="M19" s="435">
        <v>89.634406520391536</v>
      </c>
      <c r="N19" s="420">
        <v>-89.634406520391536</v>
      </c>
      <c r="T19" s="415">
        <f t="shared" si="0"/>
        <v>0</v>
      </c>
      <c r="U19" s="416">
        <f t="shared" si="1"/>
        <v>0</v>
      </c>
      <c r="V19" s="416">
        <f t="shared" si="2"/>
        <v>0</v>
      </c>
      <c r="W19" s="417">
        <f t="shared" si="3"/>
        <v>-5.2631578947368446E-2</v>
      </c>
      <c r="X19" s="418">
        <f t="shared" si="4"/>
        <v>6.2499999999999986E-2</v>
      </c>
      <c r="Y19" s="419">
        <f t="shared" si="5"/>
        <v>-1.8181818181816595E-2</v>
      </c>
      <c r="Z19" s="419">
        <f t="shared" si="7"/>
        <v>-5.66893042761595E-4</v>
      </c>
      <c r="AB19" s="429">
        <f t="shared" si="8"/>
        <v>0</v>
      </c>
      <c r="AC19" s="430">
        <f t="shared" si="6"/>
        <v>0</v>
      </c>
      <c r="AD19" s="430">
        <f t="shared" si="6"/>
        <v>0</v>
      </c>
      <c r="AE19" s="432">
        <f t="shared" si="6"/>
        <v>0</v>
      </c>
      <c r="AF19" s="433">
        <f t="shared" si="6"/>
        <v>6.2499999999999986E-2</v>
      </c>
      <c r="AG19" s="434">
        <f t="shared" si="6"/>
        <v>0</v>
      </c>
      <c r="AH19" s="434">
        <f t="shared" si="6"/>
        <v>0</v>
      </c>
    </row>
    <row r="20" spans="1:34" ht="33" customHeight="1" x14ac:dyDescent="0.35">
      <c r="A20" s="413" t="s">
        <v>9</v>
      </c>
      <c r="B20" s="260" t="s">
        <v>59</v>
      </c>
      <c r="C20" s="259" t="s">
        <v>60</v>
      </c>
      <c r="D20" s="260" t="s">
        <v>916</v>
      </c>
      <c r="E20" s="260" t="s">
        <v>61</v>
      </c>
      <c r="F20" s="414"/>
      <c r="G20" s="429">
        <v>1</v>
      </c>
      <c r="H20" s="430">
        <v>0</v>
      </c>
      <c r="I20" s="431">
        <v>0</v>
      </c>
      <c r="J20" s="432">
        <v>0.13636363636363641</v>
      </c>
      <c r="K20" s="433">
        <v>0.25</v>
      </c>
      <c r="L20" s="434">
        <v>0.29090909090909206</v>
      </c>
      <c r="M20" s="435">
        <v>79.965690261256057</v>
      </c>
      <c r="N20" s="420">
        <v>-79.965690261256057</v>
      </c>
      <c r="T20" s="415">
        <f t="shared" si="0"/>
        <v>0.25</v>
      </c>
      <c r="U20" s="416">
        <f t="shared" si="1"/>
        <v>0</v>
      </c>
      <c r="V20" s="416">
        <f t="shared" si="2"/>
        <v>0</v>
      </c>
      <c r="W20" s="417">
        <f t="shared" si="3"/>
        <v>0</v>
      </c>
      <c r="X20" s="418">
        <f t="shared" si="4"/>
        <v>6.2499999999999986E-2</v>
      </c>
      <c r="Y20" s="419">
        <f t="shared" si="5"/>
        <v>5.4545454545456083E-2</v>
      </c>
      <c r="Z20" s="419">
        <f t="shared" si="7"/>
        <v>8.9260901877138893E-2</v>
      </c>
      <c r="AB20" s="429">
        <f t="shared" si="8"/>
        <v>0.25</v>
      </c>
      <c r="AC20" s="430">
        <f t="shared" si="8"/>
        <v>0</v>
      </c>
      <c r="AD20" s="430">
        <f t="shared" si="8"/>
        <v>0</v>
      </c>
      <c r="AE20" s="432">
        <f t="shared" si="8"/>
        <v>0</v>
      </c>
      <c r="AF20" s="433">
        <f t="shared" si="8"/>
        <v>6.2499999999999986E-2</v>
      </c>
      <c r="AG20" s="434">
        <f t="shared" si="8"/>
        <v>5.4545454545456083E-2</v>
      </c>
      <c r="AH20" s="434">
        <f t="shared" si="8"/>
        <v>8.9260901877138893E-2</v>
      </c>
    </row>
    <row r="21" spans="1:34" ht="33" customHeight="1" x14ac:dyDescent="0.35">
      <c r="A21" s="413" t="s">
        <v>9</v>
      </c>
      <c r="B21" s="260" t="s">
        <v>62</v>
      </c>
      <c r="C21" s="259" t="s">
        <v>63</v>
      </c>
      <c r="D21" s="260" t="s">
        <v>916</v>
      </c>
      <c r="E21" s="260" t="s">
        <v>64</v>
      </c>
      <c r="F21" s="414"/>
      <c r="G21" s="429">
        <v>3</v>
      </c>
      <c r="H21" s="430">
        <v>2</v>
      </c>
      <c r="I21" s="431">
        <v>4</v>
      </c>
      <c r="J21" s="432">
        <v>1</v>
      </c>
      <c r="K21" s="433">
        <v>1</v>
      </c>
      <c r="L21" s="434">
        <v>1</v>
      </c>
      <c r="M21" s="463">
        <v>99.482653682288486</v>
      </c>
      <c r="N21" s="420">
        <v>-99.482653682288486</v>
      </c>
      <c r="T21" s="415">
        <f t="shared" si="0"/>
        <v>0.75</v>
      </c>
      <c r="U21" s="416">
        <f t="shared" si="1"/>
        <v>0.5</v>
      </c>
      <c r="V21" s="416">
        <f t="shared" si="2"/>
        <v>1</v>
      </c>
      <c r="W21" s="417">
        <f t="shared" si="3"/>
        <v>1</v>
      </c>
      <c r="X21" s="418">
        <f t="shared" si="4"/>
        <v>1</v>
      </c>
      <c r="Y21" s="419">
        <f t="shared" si="5"/>
        <v>1</v>
      </c>
      <c r="Z21" s="419">
        <f t="shared" si="7"/>
        <v>-9.2062630705299145E-2</v>
      </c>
      <c r="AB21" s="429">
        <f t="shared" si="8"/>
        <v>0.75</v>
      </c>
      <c r="AC21" s="430">
        <f t="shared" si="8"/>
        <v>0.5</v>
      </c>
      <c r="AD21" s="430">
        <f t="shared" si="8"/>
        <v>1</v>
      </c>
      <c r="AE21" s="432">
        <f t="shared" si="8"/>
        <v>1</v>
      </c>
      <c r="AF21" s="433">
        <f t="shared" si="8"/>
        <v>1</v>
      </c>
      <c r="AG21" s="434">
        <f t="shared" si="8"/>
        <v>1</v>
      </c>
      <c r="AH21" s="434">
        <f t="shared" si="8"/>
        <v>0</v>
      </c>
    </row>
    <row r="22" spans="1:34" ht="33" customHeight="1" x14ac:dyDescent="0.35">
      <c r="A22" s="426" t="s">
        <v>9</v>
      </c>
      <c r="B22" s="427" t="s">
        <v>65</v>
      </c>
      <c r="C22" s="428" t="s">
        <v>66</v>
      </c>
      <c r="D22" s="260" t="s">
        <v>916</v>
      </c>
      <c r="E22" s="260" t="s">
        <v>67</v>
      </c>
      <c r="F22" s="414"/>
      <c r="G22" s="429">
        <v>0</v>
      </c>
      <c r="H22" s="430">
        <v>4</v>
      </c>
      <c r="I22" s="431">
        <v>4</v>
      </c>
      <c r="J22" s="432">
        <v>9.0909090909090939E-2</v>
      </c>
      <c r="K22" s="433">
        <v>0.25</v>
      </c>
      <c r="L22" s="434">
        <v>0.94545454545454544</v>
      </c>
      <c r="M22" s="435">
        <v>-9.9835436950806073</v>
      </c>
      <c r="N22" s="420">
        <v>9.9835436950806073</v>
      </c>
      <c r="T22" s="415">
        <f t="shared" si="0"/>
        <v>0</v>
      </c>
      <c r="U22" s="416">
        <f t="shared" si="1"/>
        <v>1</v>
      </c>
      <c r="V22" s="416">
        <f t="shared" si="2"/>
        <v>1</v>
      </c>
      <c r="W22" s="417">
        <f t="shared" si="3"/>
        <v>-5.2631578947368446E-2</v>
      </c>
      <c r="X22" s="418">
        <f t="shared" si="4"/>
        <v>6.2499999999999986E-2</v>
      </c>
      <c r="Y22" s="419">
        <f t="shared" si="5"/>
        <v>0.92727272727272725</v>
      </c>
      <c r="Z22" s="419">
        <f t="shared" si="7"/>
        <v>0.92493971636273664</v>
      </c>
      <c r="AB22" s="429">
        <f t="shared" si="8"/>
        <v>0</v>
      </c>
      <c r="AC22" s="430">
        <f t="shared" si="8"/>
        <v>1</v>
      </c>
      <c r="AD22" s="430">
        <f t="shared" si="8"/>
        <v>1</v>
      </c>
      <c r="AE22" s="432">
        <f t="shared" si="8"/>
        <v>0</v>
      </c>
      <c r="AF22" s="433">
        <f t="shared" si="8"/>
        <v>6.2499999999999986E-2</v>
      </c>
      <c r="AG22" s="434">
        <f t="shared" si="8"/>
        <v>0.92727272727272725</v>
      </c>
      <c r="AH22" s="434">
        <f t="shared" si="8"/>
        <v>0.92493971636273664</v>
      </c>
    </row>
    <row r="23" spans="1:34" ht="33" customHeight="1" x14ac:dyDescent="0.35">
      <c r="A23" s="426" t="s">
        <v>9</v>
      </c>
      <c r="B23" s="427" t="s">
        <v>68</v>
      </c>
      <c r="C23" s="428" t="s">
        <v>69</v>
      </c>
      <c r="D23" s="260" t="s">
        <v>916</v>
      </c>
      <c r="E23" s="260" t="s">
        <v>70</v>
      </c>
      <c r="F23" s="414"/>
      <c r="G23" s="429">
        <v>0</v>
      </c>
      <c r="H23" s="430">
        <v>1</v>
      </c>
      <c r="I23" s="431">
        <v>3</v>
      </c>
      <c r="J23" s="432">
        <v>0.27272727272727265</v>
      </c>
      <c r="K23" s="433">
        <v>0.95</v>
      </c>
      <c r="L23" s="434">
        <v>1</v>
      </c>
      <c r="M23" s="435">
        <v>-1.1284661539227101</v>
      </c>
      <c r="N23" s="420">
        <v>1.1284661539227101</v>
      </c>
      <c r="T23" s="415">
        <f t="shared" si="0"/>
        <v>0</v>
      </c>
      <c r="U23" s="416">
        <f t="shared" si="1"/>
        <v>0.25</v>
      </c>
      <c r="V23" s="416">
        <f t="shared" si="2"/>
        <v>0.75</v>
      </c>
      <c r="W23" s="417">
        <f t="shared" si="3"/>
        <v>0.15789473684210514</v>
      </c>
      <c r="X23" s="418">
        <f t="shared" si="4"/>
        <v>0.9375</v>
      </c>
      <c r="Y23" s="419">
        <f t="shared" si="5"/>
        <v>1</v>
      </c>
      <c r="Z23" s="419">
        <f t="shared" si="7"/>
        <v>0.8426710813083792</v>
      </c>
      <c r="AB23" s="429">
        <f t="shared" si="8"/>
        <v>0</v>
      </c>
      <c r="AC23" s="430">
        <f t="shared" si="8"/>
        <v>0.25</v>
      </c>
      <c r="AD23" s="430">
        <f t="shared" si="8"/>
        <v>0.75</v>
      </c>
      <c r="AE23" s="432">
        <f t="shared" si="8"/>
        <v>0.15789473684210514</v>
      </c>
      <c r="AF23" s="433">
        <f t="shared" si="8"/>
        <v>0.9375</v>
      </c>
      <c r="AG23" s="434">
        <f t="shared" si="8"/>
        <v>1</v>
      </c>
      <c r="AH23" s="434">
        <f t="shared" si="8"/>
        <v>0.8426710813083792</v>
      </c>
    </row>
    <row r="24" spans="1:34" ht="33" customHeight="1" x14ac:dyDescent="0.35">
      <c r="A24" s="413" t="s">
        <v>9</v>
      </c>
      <c r="B24" s="260" t="s">
        <v>71</v>
      </c>
      <c r="C24" s="259" t="s">
        <v>72</v>
      </c>
      <c r="D24" s="260" t="s">
        <v>918</v>
      </c>
      <c r="E24" s="260" t="s">
        <v>73</v>
      </c>
      <c r="F24" s="414"/>
      <c r="G24" s="429">
        <v>0</v>
      </c>
      <c r="H24" s="430">
        <v>0</v>
      </c>
      <c r="I24" s="431">
        <v>0</v>
      </c>
      <c r="J24" s="432">
        <v>0.18181818181818174</v>
      </c>
      <c r="K24" s="433">
        <v>0.3</v>
      </c>
      <c r="L24" s="434">
        <v>0.23636363636363755</v>
      </c>
      <c r="M24" s="435">
        <v>87.166111877892362</v>
      </c>
      <c r="N24" s="420">
        <v>-87.166111877892362</v>
      </c>
      <c r="T24" s="415">
        <f t="shared" si="0"/>
        <v>0</v>
      </c>
      <c r="U24" s="416">
        <f t="shared" si="1"/>
        <v>0</v>
      </c>
      <c r="V24" s="416">
        <f t="shared" si="2"/>
        <v>0</v>
      </c>
      <c r="W24" s="417">
        <f t="shared" si="3"/>
        <v>5.2631578947368286E-2</v>
      </c>
      <c r="X24" s="418">
        <f t="shared" si="4"/>
        <v>0.12499999999999997</v>
      </c>
      <c r="Y24" s="419">
        <f t="shared" si="5"/>
        <v>-1.8181818181816595E-2</v>
      </c>
      <c r="Z24" s="419">
        <f t="shared" si="7"/>
        <v>2.2364948062701766E-2</v>
      </c>
      <c r="AB24" s="429">
        <f t="shared" si="8"/>
        <v>0</v>
      </c>
      <c r="AC24" s="430">
        <f t="shared" si="8"/>
        <v>0</v>
      </c>
      <c r="AD24" s="430">
        <f t="shared" si="8"/>
        <v>0</v>
      </c>
      <c r="AE24" s="432">
        <f t="shared" si="8"/>
        <v>5.2631578947368286E-2</v>
      </c>
      <c r="AF24" s="433">
        <f t="shared" si="8"/>
        <v>0.12499999999999997</v>
      </c>
      <c r="AG24" s="434">
        <f t="shared" si="8"/>
        <v>0</v>
      </c>
      <c r="AH24" s="434">
        <f t="shared" si="8"/>
        <v>2.2364948062701766E-2</v>
      </c>
    </row>
    <row r="25" spans="1:34" ht="33" customHeight="1" x14ac:dyDescent="0.35">
      <c r="A25" s="413" t="s">
        <v>9</v>
      </c>
      <c r="B25" s="260" t="s">
        <v>74</v>
      </c>
      <c r="C25" s="259" t="s">
        <v>75</v>
      </c>
      <c r="D25" s="260" t="s">
        <v>920</v>
      </c>
      <c r="E25" s="260" t="s">
        <v>76</v>
      </c>
      <c r="F25" s="414"/>
      <c r="G25" s="429">
        <v>1</v>
      </c>
      <c r="H25" s="430">
        <v>0</v>
      </c>
      <c r="I25" s="431">
        <v>0</v>
      </c>
      <c r="J25" s="432">
        <v>0.18181818181818174</v>
      </c>
      <c r="K25" s="433">
        <v>0.2</v>
      </c>
      <c r="L25" s="434">
        <v>0.12727272727272848</v>
      </c>
      <c r="M25" s="435">
        <v>105.55039424822077</v>
      </c>
      <c r="N25" s="420">
        <v>-105.55039424822077</v>
      </c>
      <c r="T25" s="415">
        <f t="shared" si="0"/>
        <v>0.25</v>
      </c>
      <c r="U25" s="416">
        <f t="shared" si="1"/>
        <v>0</v>
      </c>
      <c r="V25" s="416">
        <f t="shared" si="2"/>
        <v>0</v>
      </c>
      <c r="W25" s="417">
        <f t="shared" si="3"/>
        <v>5.2631578947368286E-2</v>
      </c>
      <c r="X25" s="418">
        <f t="shared" si="4"/>
        <v>0</v>
      </c>
      <c r="Y25" s="419">
        <f t="shared" si="5"/>
        <v>-0.16363636363636203</v>
      </c>
      <c r="Z25" s="419">
        <f t="shared" si="7"/>
        <v>-0.14843534250855786</v>
      </c>
      <c r="AB25" s="429">
        <f t="shared" si="8"/>
        <v>0.25</v>
      </c>
      <c r="AC25" s="430">
        <f t="shared" si="8"/>
        <v>0</v>
      </c>
      <c r="AD25" s="430">
        <f t="shared" si="8"/>
        <v>0</v>
      </c>
      <c r="AE25" s="432">
        <f t="shared" si="8"/>
        <v>5.2631578947368286E-2</v>
      </c>
      <c r="AF25" s="433">
        <f t="shared" si="8"/>
        <v>0</v>
      </c>
      <c r="AG25" s="434">
        <f t="shared" si="8"/>
        <v>0</v>
      </c>
      <c r="AH25" s="434">
        <f t="shared" si="8"/>
        <v>0</v>
      </c>
    </row>
    <row r="26" spans="1:34" ht="33" customHeight="1" x14ac:dyDescent="0.35">
      <c r="A26" s="413" t="s">
        <v>9</v>
      </c>
      <c r="B26" s="260" t="s">
        <v>77</v>
      </c>
      <c r="C26" s="259" t="s">
        <v>78</v>
      </c>
      <c r="D26" s="260" t="s">
        <v>916</v>
      </c>
      <c r="E26" s="260" t="s">
        <v>79</v>
      </c>
      <c r="F26" s="414"/>
      <c r="G26" s="429">
        <v>0</v>
      </c>
      <c r="H26" s="430">
        <v>0</v>
      </c>
      <c r="I26" s="431">
        <v>0</v>
      </c>
      <c r="J26" s="432">
        <v>0.18181818181818174</v>
      </c>
      <c r="K26" s="433">
        <v>0.35</v>
      </c>
      <c r="L26" s="434">
        <v>0.34545454545454646</v>
      </c>
      <c r="M26" s="435">
        <v>63.039156275163677</v>
      </c>
      <c r="N26" s="420">
        <v>-63.039156275163677</v>
      </c>
      <c r="T26" s="415">
        <f t="shared" si="0"/>
        <v>0</v>
      </c>
      <c r="U26" s="416">
        <f t="shared" si="1"/>
        <v>0</v>
      </c>
      <c r="V26" s="416">
        <f t="shared" si="2"/>
        <v>0</v>
      </c>
      <c r="W26" s="417">
        <f t="shared" si="3"/>
        <v>5.2631578947368286E-2</v>
      </c>
      <c r="X26" s="418">
        <f t="shared" si="4"/>
        <v>0.18749999999999994</v>
      </c>
      <c r="Y26" s="419">
        <f t="shared" si="5"/>
        <v>0.12727272727272862</v>
      </c>
      <c r="Z26" s="419">
        <f t="shared" si="7"/>
        <v>0.24651789265611787</v>
      </c>
      <c r="AB26" s="429">
        <f t="shared" si="8"/>
        <v>0</v>
      </c>
      <c r="AC26" s="430">
        <f t="shared" si="8"/>
        <v>0</v>
      </c>
      <c r="AD26" s="430">
        <f t="shared" si="8"/>
        <v>0</v>
      </c>
      <c r="AE26" s="432">
        <f t="shared" si="8"/>
        <v>5.2631578947368286E-2</v>
      </c>
      <c r="AF26" s="433">
        <f t="shared" si="8"/>
        <v>0.18749999999999994</v>
      </c>
      <c r="AG26" s="434">
        <f t="shared" si="8"/>
        <v>0.12727272727272862</v>
      </c>
      <c r="AH26" s="434">
        <f t="shared" si="8"/>
        <v>0.24651789265611787</v>
      </c>
    </row>
    <row r="27" spans="1:34" ht="33" customHeight="1" x14ac:dyDescent="0.35">
      <c r="A27" s="413" t="s">
        <v>9</v>
      </c>
      <c r="B27" s="260" t="s">
        <v>80</v>
      </c>
      <c r="C27" s="259" t="s">
        <v>81</v>
      </c>
      <c r="D27" s="260" t="s">
        <v>919</v>
      </c>
      <c r="E27" s="260" t="s">
        <v>82</v>
      </c>
      <c r="F27" s="414"/>
      <c r="G27" s="429">
        <v>1</v>
      </c>
      <c r="H27" s="430">
        <v>0</v>
      </c>
      <c r="I27" s="431">
        <v>0</v>
      </c>
      <c r="J27" s="432">
        <v>0.18181818181818174</v>
      </c>
      <c r="K27" s="433">
        <v>0.2</v>
      </c>
      <c r="L27" s="434">
        <v>0.12727272727272848</v>
      </c>
      <c r="M27" s="435">
        <v>3.5064158133636809</v>
      </c>
      <c r="N27" s="420">
        <v>-3.5064158133636809</v>
      </c>
      <c r="T27" s="415">
        <f t="shared" si="0"/>
        <v>0.25</v>
      </c>
      <c r="U27" s="416">
        <f t="shared" si="1"/>
        <v>0</v>
      </c>
      <c r="V27" s="416">
        <f t="shared" si="2"/>
        <v>0</v>
      </c>
      <c r="W27" s="417">
        <f t="shared" si="3"/>
        <v>5.2631578947368286E-2</v>
      </c>
      <c r="X27" s="418">
        <f t="shared" si="4"/>
        <v>0</v>
      </c>
      <c r="Y27" s="419">
        <f t="shared" si="5"/>
        <v>-0.16363636363636203</v>
      </c>
      <c r="Z27" s="419">
        <f t="shared" si="7"/>
        <v>0.79961042923453562</v>
      </c>
      <c r="AB27" s="429">
        <f t="shared" si="8"/>
        <v>0.25</v>
      </c>
      <c r="AC27" s="430">
        <f t="shared" si="8"/>
        <v>0</v>
      </c>
      <c r="AD27" s="430">
        <f t="shared" si="8"/>
        <v>0</v>
      </c>
      <c r="AE27" s="432">
        <f t="shared" si="8"/>
        <v>5.2631578947368286E-2</v>
      </c>
      <c r="AF27" s="433">
        <f t="shared" si="8"/>
        <v>0</v>
      </c>
      <c r="AG27" s="434">
        <f t="shared" si="8"/>
        <v>0</v>
      </c>
      <c r="AH27" s="434">
        <f t="shared" si="8"/>
        <v>0.79961042923453562</v>
      </c>
    </row>
    <row r="28" spans="1:34" ht="33" customHeight="1" x14ac:dyDescent="0.35">
      <c r="A28" s="413" t="s">
        <v>9</v>
      </c>
      <c r="B28" s="260" t="s">
        <v>83</v>
      </c>
      <c r="C28" s="259" t="s">
        <v>84</v>
      </c>
      <c r="D28" s="260" t="s">
        <v>919</v>
      </c>
      <c r="E28" s="260" t="s">
        <v>85</v>
      </c>
      <c r="F28" s="414" t="s">
        <v>934</v>
      </c>
      <c r="G28" s="429">
        <v>2</v>
      </c>
      <c r="H28" s="430">
        <v>1</v>
      </c>
      <c r="I28" s="431">
        <v>2</v>
      </c>
      <c r="J28" s="432">
        <v>0.13636363636363641</v>
      </c>
      <c r="K28" s="433">
        <v>0.25</v>
      </c>
      <c r="L28" s="434">
        <v>7.2727272727274084E-2</v>
      </c>
      <c r="M28" s="435">
        <v>47.315019427848</v>
      </c>
      <c r="N28" s="420">
        <v>-47.315019427848</v>
      </c>
      <c r="T28" s="415">
        <f t="shared" si="0"/>
        <v>0.5</v>
      </c>
      <c r="U28" s="416">
        <f t="shared" si="1"/>
        <v>0.25</v>
      </c>
      <c r="V28" s="416">
        <f t="shared" si="2"/>
        <v>0.5</v>
      </c>
      <c r="W28" s="417">
        <f t="shared" si="3"/>
        <v>0</v>
      </c>
      <c r="X28" s="418">
        <f t="shared" si="4"/>
        <v>6.2499999999999986E-2</v>
      </c>
      <c r="Y28" s="419">
        <f t="shared" si="5"/>
        <v>-0.23636363636363455</v>
      </c>
      <c r="Z28" s="419">
        <f t="shared" si="7"/>
        <v>0.39260393987862863</v>
      </c>
      <c r="AB28" s="429">
        <f t="shared" si="8"/>
        <v>0.5</v>
      </c>
      <c r="AC28" s="430">
        <f t="shared" si="8"/>
        <v>0.25</v>
      </c>
      <c r="AD28" s="430">
        <f t="shared" si="8"/>
        <v>0.5</v>
      </c>
      <c r="AE28" s="432">
        <f t="shared" si="8"/>
        <v>0</v>
      </c>
      <c r="AF28" s="433">
        <f t="shared" si="8"/>
        <v>6.2499999999999986E-2</v>
      </c>
      <c r="AG28" s="434">
        <f t="shared" si="8"/>
        <v>0</v>
      </c>
      <c r="AH28" s="434">
        <f t="shared" si="8"/>
        <v>0.39260393987862863</v>
      </c>
    </row>
    <row r="29" spans="1:34" ht="33" customHeight="1" x14ac:dyDescent="0.35">
      <c r="A29" s="413" t="s">
        <v>9</v>
      </c>
      <c r="B29" s="260" t="s">
        <v>86</v>
      </c>
      <c r="C29" s="259" t="s">
        <v>87</v>
      </c>
      <c r="D29" s="260" t="s">
        <v>916</v>
      </c>
      <c r="E29" s="260" t="s">
        <v>88</v>
      </c>
      <c r="F29" s="414"/>
      <c r="G29" s="429">
        <v>0</v>
      </c>
      <c r="H29" s="430">
        <v>1</v>
      </c>
      <c r="I29" s="431">
        <v>0</v>
      </c>
      <c r="J29" s="432">
        <v>0.18181818181818174</v>
      </c>
      <c r="K29" s="433">
        <v>0.2</v>
      </c>
      <c r="L29" s="434">
        <v>0.12727272727272848</v>
      </c>
      <c r="M29" s="435">
        <v>73.929347987036422</v>
      </c>
      <c r="N29" s="420">
        <v>-73.929347987036422</v>
      </c>
      <c r="T29" s="415">
        <f t="shared" si="0"/>
        <v>0</v>
      </c>
      <c r="U29" s="416">
        <f t="shared" si="1"/>
        <v>0.25</v>
      </c>
      <c r="V29" s="416">
        <f t="shared" si="2"/>
        <v>0</v>
      </c>
      <c r="W29" s="417">
        <f t="shared" si="3"/>
        <v>5.2631578947368286E-2</v>
      </c>
      <c r="X29" s="418">
        <f t="shared" si="4"/>
        <v>0</v>
      </c>
      <c r="Y29" s="419">
        <f t="shared" si="5"/>
        <v>-0.16363636363636203</v>
      </c>
      <c r="Z29" s="419">
        <f t="shared" si="7"/>
        <v>0.14534190594658816</v>
      </c>
      <c r="AB29" s="429">
        <f t="shared" si="8"/>
        <v>0</v>
      </c>
      <c r="AC29" s="430">
        <f t="shared" si="8"/>
        <v>0.25</v>
      </c>
      <c r="AD29" s="430">
        <f t="shared" si="8"/>
        <v>0</v>
      </c>
      <c r="AE29" s="432">
        <f t="shared" si="8"/>
        <v>5.2631578947368286E-2</v>
      </c>
      <c r="AF29" s="433">
        <f t="shared" si="8"/>
        <v>0</v>
      </c>
      <c r="AG29" s="434">
        <f t="shared" si="8"/>
        <v>0</v>
      </c>
      <c r="AH29" s="434">
        <f t="shared" si="8"/>
        <v>0.14534190594658816</v>
      </c>
    </row>
    <row r="30" spans="1:34" ht="33" customHeight="1" x14ac:dyDescent="0.35">
      <c r="A30" s="413" t="s">
        <v>9</v>
      </c>
      <c r="B30" s="260" t="s">
        <v>89</v>
      </c>
      <c r="C30" s="259" t="s">
        <v>90</v>
      </c>
      <c r="D30" s="260" t="s">
        <v>916</v>
      </c>
      <c r="E30" s="260" t="s">
        <v>91</v>
      </c>
      <c r="F30" s="414"/>
      <c r="G30" s="429">
        <v>0</v>
      </c>
      <c r="H30" s="430">
        <v>0</v>
      </c>
      <c r="I30" s="431">
        <v>0</v>
      </c>
      <c r="J30" s="432">
        <v>9.0909090909090939E-2</v>
      </c>
      <c r="K30" s="433">
        <v>0.1</v>
      </c>
      <c r="L30" s="434">
        <v>1.8181818181819694E-2</v>
      </c>
      <c r="M30" s="435">
        <v>81.021605435083274</v>
      </c>
      <c r="N30" s="420">
        <v>-81.021605435083274</v>
      </c>
      <c r="T30" s="415">
        <f t="shared" si="0"/>
        <v>0</v>
      </c>
      <c r="U30" s="416">
        <f t="shared" si="1"/>
        <v>0</v>
      </c>
      <c r="V30" s="416">
        <f t="shared" si="2"/>
        <v>0</v>
      </c>
      <c r="W30" s="417">
        <f t="shared" si="3"/>
        <v>-5.2631578947368446E-2</v>
      </c>
      <c r="X30" s="418">
        <f t="shared" si="4"/>
        <v>-0.125</v>
      </c>
      <c r="Y30" s="419">
        <f t="shared" si="5"/>
        <v>-0.30909090909090708</v>
      </c>
      <c r="Z30" s="419">
        <f t="shared" si="7"/>
        <v>7.9450857901782523E-2</v>
      </c>
      <c r="AB30" s="429">
        <f t="shared" si="8"/>
        <v>0</v>
      </c>
      <c r="AC30" s="430">
        <f t="shared" si="8"/>
        <v>0</v>
      </c>
      <c r="AD30" s="430">
        <f t="shared" si="8"/>
        <v>0</v>
      </c>
      <c r="AE30" s="432">
        <f t="shared" si="8"/>
        <v>0</v>
      </c>
      <c r="AF30" s="433">
        <f t="shared" si="8"/>
        <v>0</v>
      </c>
      <c r="AG30" s="434">
        <f t="shared" si="8"/>
        <v>0</v>
      </c>
      <c r="AH30" s="434">
        <f t="shared" si="8"/>
        <v>7.9450857901782523E-2</v>
      </c>
    </row>
    <row r="31" spans="1:34" ht="33" customHeight="1" x14ac:dyDescent="0.35">
      <c r="A31" s="413" t="s">
        <v>9</v>
      </c>
      <c r="B31" s="260" t="s">
        <v>92</v>
      </c>
      <c r="C31" s="259" t="s">
        <v>93</v>
      </c>
      <c r="D31" s="260" t="s">
        <v>916</v>
      </c>
      <c r="E31" s="260" t="s">
        <v>94</v>
      </c>
      <c r="F31" s="414"/>
      <c r="G31" s="429">
        <v>0</v>
      </c>
      <c r="H31" s="430">
        <v>0</v>
      </c>
      <c r="I31" s="431">
        <v>0</v>
      </c>
      <c r="J31" s="432">
        <v>0.18181818181818174</v>
      </c>
      <c r="K31" s="433">
        <v>0.2</v>
      </c>
      <c r="L31" s="434">
        <v>7.2727272727274084E-2</v>
      </c>
      <c r="M31" s="435">
        <v>83.193471026246073</v>
      </c>
      <c r="N31" s="420">
        <v>-83.193471026246073</v>
      </c>
      <c r="T31" s="415">
        <f t="shared" si="0"/>
        <v>0</v>
      </c>
      <c r="U31" s="416">
        <f t="shared" si="1"/>
        <v>0</v>
      </c>
      <c r="V31" s="416">
        <f t="shared" si="2"/>
        <v>0</v>
      </c>
      <c r="W31" s="417">
        <f t="shared" si="3"/>
        <v>5.2631578947368286E-2</v>
      </c>
      <c r="X31" s="418">
        <f t="shared" si="4"/>
        <v>0</v>
      </c>
      <c r="Y31" s="419">
        <f t="shared" si="5"/>
        <v>-0.23636363636363455</v>
      </c>
      <c r="Z31" s="419">
        <f t="shared" si="7"/>
        <v>5.9273008879454858E-2</v>
      </c>
      <c r="AB31" s="429">
        <f t="shared" si="8"/>
        <v>0</v>
      </c>
      <c r="AC31" s="430">
        <f t="shared" si="8"/>
        <v>0</v>
      </c>
      <c r="AD31" s="430">
        <f t="shared" si="8"/>
        <v>0</v>
      </c>
      <c r="AE31" s="432">
        <f t="shared" si="8"/>
        <v>5.2631578947368286E-2</v>
      </c>
      <c r="AF31" s="433">
        <f t="shared" si="8"/>
        <v>0</v>
      </c>
      <c r="AG31" s="434">
        <f t="shared" si="8"/>
        <v>0</v>
      </c>
      <c r="AH31" s="434">
        <f t="shared" si="8"/>
        <v>5.9273008879454858E-2</v>
      </c>
    </row>
    <row r="32" spans="1:34" ht="33" customHeight="1" x14ac:dyDescent="0.35">
      <c r="A32" s="413" t="s">
        <v>9</v>
      </c>
      <c r="B32" s="260" t="s">
        <v>95</v>
      </c>
      <c r="C32" s="259" t="s">
        <v>96</v>
      </c>
      <c r="D32" s="260" t="s">
        <v>916</v>
      </c>
      <c r="E32" s="260" t="s">
        <v>97</v>
      </c>
      <c r="F32" s="414"/>
      <c r="G32" s="429">
        <v>0</v>
      </c>
      <c r="H32" s="430">
        <v>0</v>
      </c>
      <c r="I32" s="431">
        <v>0</v>
      </c>
      <c r="J32" s="432">
        <v>0.18181818181818174</v>
      </c>
      <c r="K32" s="433">
        <v>0.2</v>
      </c>
      <c r="L32" s="434">
        <v>7.2727272727274084E-2</v>
      </c>
      <c r="M32" s="435">
        <v>118.45374093100158</v>
      </c>
      <c r="N32" s="420">
        <v>-118.45374093100158</v>
      </c>
      <c r="T32" s="415">
        <f t="shared" si="0"/>
        <v>0</v>
      </c>
      <c r="U32" s="416">
        <f t="shared" si="1"/>
        <v>0</v>
      </c>
      <c r="V32" s="416">
        <f t="shared" si="2"/>
        <v>0</v>
      </c>
      <c r="W32" s="417">
        <f t="shared" si="3"/>
        <v>5.2631578947368286E-2</v>
      </c>
      <c r="X32" s="418">
        <f t="shared" si="4"/>
        <v>0</v>
      </c>
      <c r="Y32" s="419">
        <f t="shared" si="5"/>
        <v>-0.23636363636363455</v>
      </c>
      <c r="Z32" s="419">
        <f t="shared" si="7"/>
        <v>-0.26831466759538702</v>
      </c>
      <c r="AB32" s="429">
        <f t="shared" si="8"/>
        <v>0</v>
      </c>
      <c r="AC32" s="430">
        <f t="shared" si="8"/>
        <v>0</v>
      </c>
      <c r="AD32" s="430">
        <f t="shared" si="8"/>
        <v>0</v>
      </c>
      <c r="AE32" s="432">
        <f t="shared" si="8"/>
        <v>5.2631578947368286E-2</v>
      </c>
      <c r="AF32" s="433">
        <f t="shared" si="8"/>
        <v>0</v>
      </c>
      <c r="AG32" s="434">
        <f t="shared" si="8"/>
        <v>0</v>
      </c>
      <c r="AH32" s="434">
        <f t="shared" si="8"/>
        <v>0</v>
      </c>
    </row>
    <row r="33" spans="1:34" ht="33" customHeight="1" x14ac:dyDescent="0.35">
      <c r="A33" s="413" t="s">
        <v>9</v>
      </c>
      <c r="B33" s="260" t="s">
        <v>98</v>
      </c>
      <c r="C33" s="259" t="s">
        <v>99</v>
      </c>
      <c r="D33" s="260" t="s">
        <v>916</v>
      </c>
      <c r="E33" s="260" t="s">
        <v>100</v>
      </c>
      <c r="F33" s="414"/>
      <c r="G33" s="429">
        <v>0</v>
      </c>
      <c r="H33" s="430">
        <v>0</v>
      </c>
      <c r="I33" s="431">
        <v>0</v>
      </c>
      <c r="J33" s="432">
        <v>0.18181818181818174</v>
      </c>
      <c r="K33" s="433">
        <v>0.2</v>
      </c>
      <c r="L33" s="434">
        <v>0.12727272727272848</v>
      </c>
      <c r="M33" s="435">
        <v>101.46934747532663</v>
      </c>
      <c r="N33" s="420">
        <v>-101.46934747532663</v>
      </c>
      <c r="T33" s="415">
        <f t="shared" si="0"/>
        <v>0</v>
      </c>
      <c r="U33" s="416">
        <f t="shared" si="1"/>
        <v>0</v>
      </c>
      <c r="V33" s="416">
        <f t="shared" si="2"/>
        <v>0</v>
      </c>
      <c r="W33" s="417">
        <f t="shared" si="3"/>
        <v>5.2631578947368286E-2</v>
      </c>
      <c r="X33" s="418">
        <f t="shared" si="4"/>
        <v>0</v>
      </c>
      <c r="Y33" s="419">
        <f t="shared" si="5"/>
        <v>-0.16363636363636203</v>
      </c>
      <c r="Z33" s="419">
        <f t="shared" si="7"/>
        <v>-0.11052012990443548</v>
      </c>
      <c r="AB33" s="429">
        <f t="shared" si="8"/>
        <v>0</v>
      </c>
      <c r="AC33" s="430">
        <f t="shared" si="8"/>
        <v>0</v>
      </c>
      <c r="AD33" s="430">
        <f t="shared" si="8"/>
        <v>0</v>
      </c>
      <c r="AE33" s="432">
        <f t="shared" si="8"/>
        <v>5.2631578947368286E-2</v>
      </c>
      <c r="AF33" s="433">
        <f t="shared" si="8"/>
        <v>0</v>
      </c>
      <c r="AG33" s="434">
        <f t="shared" si="8"/>
        <v>0</v>
      </c>
      <c r="AH33" s="434">
        <f t="shared" si="8"/>
        <v>0</v>
      </c>
    </row>
    <row r="34" spans="1:34" ht="33" customHeight="1" x14ac:dyDescent="0.35">
      <c r="A34" s="413" t="s">
        <v>9</v>
      </c>
      <c r="B34" s="260" t="s">
        <v>101</v>
      </c>
      <c r="C34" s="259" t="s">
        <v>102</v>
      </c>
      <c r="D34" s="260" t="s">
        <v>919</v>
      </c>
      <c r="E34" s="260" t="s">
        <v>103</v>
      </c>
      <c r="F34" s="414"/>
      <c r="G34" s="429">
        <v>0</v>
      </c>
      <c r="H34" s="430">
        <v>0</v>
      </c>
      <c r="I34" s="431">
        <v>0</v>
      </c>
      <c r="J34" s="432">
        <v>0.18181818181818174</v>
      </c>
      <c r="K34" s="433">
        <v>0.35</v>
      </c>
      <c r="L34" s="434">
        <v>0.12727272727272848</v>
      </c>
      <c r="M34" s="435">
        <v>98.406039102283756</v>
      </c>
      <c r="N34" s="420">
        <v>-98.406039102283756</v>
      </c>
      <c r="T34" s="415">
        <f t="shared" si="0"/>
        <v>0</v>
      </c>
      <c r="U34" s="416">
        <f t="shared" si="1"/>
        <v>0</v>
      </c>
      <c r="V34" s="416">
        <f t="shared" si="2"/>
        <v>0</v>
      </c>
      <c r="W34" s="417">
        <f t="shared" si="3"/>
        <v>5.2631578947368286E-2</v>
      </c>
      <c r="X34" s="418">
        <f t="shared" si="4"/>
        <v>0.18749999999999994</v>
      </c>
      <c r="Y34" s="419">
        <f t="shared" si="5"/>
        <v>-0.16363636363636203</v>
      </c>
      <c r="Z34" s="419">
        <f t="shared" si="7"/>
        <v>-8.2060277641203036E-2</v>
      </c>
      <c r="AB34" s="429">
        <f t="shared" si="8"/>
        <v>0</v>
      </c>
      <c r="AC34" s="430">
        <f t="shared" si="8"/>
        <v>0</v>
      </c>
      <c r="AD34" s="430">
        <f t="shared" si="8"/>
        <v>0</v>
      </c>
      <c r="AE34" s="432">
        <f t="shared" si="8"/>
        <v>5.2631578947368286E-2</v>
      </c>
      <c r="AF34" s="433">
        <f t="shared" si="8"/>
        <v>0.18749999999999994</v>
      </c>
      <c r="AG34" s="434">
        <f t="shared" si="8"/>
        <v>0</v>
      </c>
      <c r="AH34" s="434">
        <f t="shared" si="8"/>
        <v>0</v>
      </c>
    </row>
    <row r="35" spans="1:34" ht="33" customHeight="1" x14ac:dyDescent="0.35">
      <c r="A35" s="413" t="s">
        <v>9</v>
      </c>
      <c r="B35" s="260" t="s">
        <v>104</v>
      </c>
      <c r="C35" s="259" t="s">
        <v>105</v>
      </c>
      <c r="D35" s="260" t="s">
        <v>918</v>
      </c>
      <c r="E35" s="260" t="s">
        <v>106</v>
      </c>
      <c r="F35" s="414"/>
      <c r="G35" s="429">
        <v>0</v>
      </c>
      <c r="H35" s="430">
        <v>0</v>
      </c>
      <c r="I35" s="431">
        <v>0</v>
      </c>
      <c r="J35" s="432">
        <v>0.18181818181818174</v>
      </c>
      <c r="K35" s="433">
        <v>0.3</v>
      </c>
      <c r="L35" s="434">
        <v>0.12727272727272848</v>
      </c>
      <c r="M35" s="435">
        <v>71.707298573195956</v>
      </c>
      <c r="N35" s="420">
        <v>-71.707298573195956</v>
      </c>
      <c r="T35" s="415">
        <f t="shared" si="0"/>
        <v>0</v>
      </c>
      <c r="U35" s="416">
        <f t="shared" si="1"/>
        <v>0</v>
      </c>
      <c r="V35" s="416">
        <f t="shared" si="2"/>
        <v>0</v>
      </c>
      <c r="W35" s="417">
        <f t="shared" si="3"/>
        <v>5.2631578947368286E-2</v>
      </c>
      <c r="X35" s="418">
        <f t="shared" si="4"/>
        <v>0.12499999999999997</v>
      </c>
      <c r="Y35" s="419">
        <f t="shared" si="5"/>
        <v>-0.16363636363636203</v>
      </c>
      <c r="Z35" s="419">
        <f t="shared" si="7"/>
        <v>0.16598599081770565</v>
      </c>
      <c r="AB35" s="429">
        <f t="shared" si="8"/>
        <v>0</v>
      </c>
      <c r="AC35" s="430">
        <f t="shared" si="8"/>
        <v>0</v>
      </c>
      <c r="AD35" s="430">
        <f t="shared" si="8"/>
        <v>0</v>
      </c>
      <c r="AE35" s="432">
        <f t="shared" si="8"/>
        <v>5.2631578947368286E-2</v>
      </c>
      <c r="AF35" s="433">
        <f t="shared" si="8"/>
        <v>0.12499999999999997</v>
      </c>
      <c r="AG35" s="434">
        <f t="shared" si="8"/>
        <v>0</v>
      </c>
      <c r="AH35" s="434">
        <f t="shared" si="8"/>
        <v>0.16598599081770565</v>
      </c>
    </row>
    <row r="36" spans="1:34" ht="33" customHeight="1" x14ac:dyDescent="0.35">
      <c r="A36" s="413" t="s">
        <v>9</v>
      </c>
      <c r="B36" s="260" t="s">
        <v>107</v>
      </c>
      <c r="C36" s="259" t="s">
        <v>108</v>
      </c>
      <c r="D36" s="260" t="s">
        <v>916</v>
      </c>
      <c r="E36" s="260" t="s">
        <v>109</v>
      </c>
      <c r="F36" s="414"/>
      <c r="G36" s="429">
        <v>1</v>
      </c>
      <c r="H36" s="430">
        <v>4</v>
      </c>
      <c r="I36" s="431">
        <v>4</v>
      </c>
      <c r="J36" s="432">
        <v>0.27272727272727265</v>
      </c>
      <c r="K36" s="433">
        <v>0.65</v>
      </c>
      <c r="L36" s="434">
        <v>0.67272727272727328</v>
      </c>
      <c r="M36" s="435">
        <v>12.879065650150434</v>
      </c>
      <c r="N36" s="420">
        <v>-12.879065650150434</v>
      </c>
      <c r="T36" s="415">
        <f t="shared" si="0"/>
        <v>0.25</v>
      </c>
      <c r="U36" s="416">
        <f t="shared" si="1"/>
        <v>1</v>
      </c>
      <c r="V36" s="416">
        <f t="shared" si="2"/>
        <v>1</v>
      </c>
      <c r="W36" s="417">
        <f t="shared" si="3"/>
        <v>0.15789473684210514</v>
      </c>
      <c r="X36" s="418">
        <f t="shared" si="4"/>
        <v>0.5625</v>
      </c>
      <c r="Y36" s="419">
        <f t="shared" si="5"/>
        <v>0.56363636363636438</v>
      </c>
      <c r="Z36" s="419">
        <f t="shared" si="7"/>
        <v>0.71253325737116358</v>
      </c>
      <c r="AB36" s="429">
        <f t="shared" si="8"/>
        <v>0.25</v>
      </c>
      <c r="AC36" s="430">
        <f t="shared" si="8"/>
        <v>1</v>
      </c>
      <c r="AD36" s="430">
        <f t="shared" si="8"/>
        <v>1</v>
      </c>
      <c r="AE36" s="432">
        <f t="shared" si="8"/>
        <v>0.15789473684210514</v>
      </c>
      <c r="AF36" s="433">
        <f t="shared" si="8"/>
        <v>0.5625</v>
      </c>
      <c r="AG36" s="434">
        <f t="shared" si="8"/>
        <v>0.56363636363636438</v>
      </c>
      <c r="AH36" s="434">
        <f t="shared" si="8"/>
        <v>0.71253325737116358</v>
      </c>
    </row>
    <row r="37" spans="1:34" ht="33" customHeight="1" x14ac:dyDescent="0.35">
      <c r="A37" s="413" t="s">
        <v>9</v>
      </c>
      <c r="B37" s="260" t="s">
        <v>110</v>
      </c>
      <c r="C37" s="259" t="s">
        <v>111</v>
      </c>
      <c r="D37" s="260" t="s">
        <v>919</v>
      </c>
      <c r="E37" s="260" t="s">
        <v>112</v>
      </c>
      <c r="F37" s="414"/>
      <c r="G37" s="429">
        <v>0</v>
      </c>
      <c r="H37" s="430">
        <v>0</v>
      </c>
      <c r="I37" s="431">
        <v>0</v>
      </c>
      <c r="J37" s="432">
        <v>9.0909090909090939E-2</v>
      </c>
      <c r="K37" s="433">
        <v>0.15</v>
      </c>
      <c r="L37" s="434">
        <v>0.12727272727272848</v>
      </c>
      <c r="M37" s="435">
        <v>113.53792222857274</v>
      </c>
      <c r="N37" s="420">
        <v>-113.53792222857274</v>
      </c>
      <c r="T37" s="415">
        <f t="shared" si="0"/>
        <v>0</v>
      </c>
      <c r="U37" s="416">
        <f t="shared" si="1"/>
        <v>0</v>
      </c>
      <c r="V37" s="416">
        <f t="shared" si="2"/>
        <v>0</v>
      </c>
      <c r="W37" s="417">
        <f t="shared" si="3"/>
        <v>-5.2631578947368446E-2</v>
      </c>
      <c r="X37" s="418">
        <f t="shared" si="4"/>
        <v>-6.2500000000000014E-2</v>
      </c>
      <c r="Y37" s="419">
        <f t="shared" si="5"/>
        <v>-0.16363636363636203</v>
      </c>
      <c r="Z37" s="419">
        <f t="shared" si="7"/>
        <v>-0.22264395574178752</v>
      </c>
      <c r="AB37" s="429">
        <f t="shared" si="8"/>
        <v>0</v>
      </c>
      <c r="AC37" s="430">
        <f t="shared" si="8"/>
        <v>0</v>
      </c>
      <c r="AD37" s="430">
        <f t="shared" si="8"/>
        <v>0</v>
      </c>
      <c r="AE37" s="432">
        <f t="shared" si="8"/>
        <v>0</v>
      </c>
      <c r="AF37" s="433">
        <f t="shared" si="8"/>
        <v>0</v>
      </c>
      <c r="AG37" s="434">
        <f t="shared" si="8"/>
        <v>0</v>
      </c>
      <c r="AH37" s="434">
        <f t="shared" si="8"/>
        <v>0</v>
      </c>
    </row>
    <row r="38" spans="1:34" ht="33" customHeight="1" x14ac:dyDescent="0.35">
      <c r="A38" s="413" t="s">
        <v>9</v>
      </c>
      <c r="B38" s="260" t="s">
        <v>113</v>
      </c>
      <c r="C38" s="259" t="s">
        <v>114</v>
      </c>
      <c r="D38" s="260" t="s">
        <v>919</v>
      </c>
      <c r="E38" s="260" t="s">
        <v>115</v>
      </c>
      <c r="F38" s="414" t="s">
        <v>955</v>
      </c>
      <c r="G38" s="429">
        <v>1</v>
      </c>
      <c r="H38" s="430">
        <v>0</v>
      </c>
      <c r="I38" s="431">
        <v>0</v>
      </c>
      <c r="J38" s="432">
        <v>9.0909090909090939E-2</v>
      </c>
      <c r="K38" s="433">
        <v>0.15</v>
      </c>
      <c r="L38" s="434">
        <v>0.12727272727272848</v>
      </c>
      <c r="M38" s="435">
        <v>105.56324743122696</v>
      </c>
      <c r="N38" s="420">
        <v>-105.56324743122696</v>
      </c>
      <c r="T38" s="415">
        <f t="shared" si="0"/>
        <v>0.25</v>
      </c>
      <c r="U38" s="416">
        <f t="shared" si="1"/>
        <v>0</v>
      </c>
      <c r="V38" s="416">
        <f t="shared" si="2"/>
        <v>0</v>
      </c>
      <c r="W38" s="417">
        <f t="shared" si="3"/>
        <v>-5.2631578947368446E-2</v>
      </c>
      <c r="X38" s="418">
        <f t="shared" si="4"/>
        <v>-6.2500000000000014E-2</v>
      </c>
      <c r="Y38" s="419">
        <f t="shared" si="5"/>
        <v>-0.16363636363636203</v>
      </c>
      <c r="Z38" s="419">
        <f t="shared" si="7"/>
        <v>-0.1485547557849643</v>
      </c>
      <c r="AB38" s="429">
        <f t="shared" si="8"/>
        <v>0.25</v>
      </c>
      <c r="AC38" s="430">
        <f t="shared" si="8"/>
        <v>0</v>
      </c>
      <c r="AD38" s="430">
        <f t="shared" si="8"/>
        <v>0</v>
      </c>
      <c r="AE38" s="432">
        <f t="shared" si="8"/>
        <v>0</v>
      </c>
      <c r="AF38" s="433">
        <f t="shared" si="8"/>
        <v>0</v>
      </c>
      <c r="AG38" s="434">
        <f t="shared" si="8"/>
        <v>0</v>
      </c>
      <c r="AH38" s="434">
        <f t="shared" si="8"/>
        <v>0</v>
      </c>
    </row>
    <row r="39" spans="1:34" ht="33" customHeight="1" x14ac:dyDescent="0.35">
      <c r="A39" s="413" t="s">
        <v>9</v>
      </c>
      <c r="B39" s="260" t="s">
        <v>116</v>
      </c>
      <c r="C39" s="259" t="s">
        <v>117</v>
      </c>
      <c r="D39" s="260" t="s">
        <v>916</v>
      </c>
      <c r="E39" s="260" t="s">
        <v>118</v>
      </c>
      <c r="F39" s="414"/>
      <c r="G39" s="429">
        <v>1</v>
      </c>
      <c r="H39" s="430">
        <v>0</v>
      </c>
      <c r="I39" s="431">
        <v>0</v>
      </c>
      <c r="J39" s="432">
        <v>9.0909090909090939E-2</v>
      </c>
      <c r="K39" s="433">
        <v>0.15</v>
      </c>
      <c r="L39" s="434">
        <v>0.12727272727272848</v>
      </c>
      <c r="M39" s="435">
        <v>91.320631312892232</v>
      </c>
      <c r="N39" s="420">
        <v>-91.320631312892232</v>
      </c>
      <c r="T39" s="415">
        <f t="shared" si="0"/>
        <v>0.25</v>
      </c>
      <c r="U39" s="416">
        <f t="shared" si="1"/>
        <v>0</v>
      </c>
      <c r="V39" s="416">
        <f t="shared" si="2"/>
        <v>0</v>
      </c>
      <c r="W39" s="417">
        <f t="shared" si="3"/>
        <v>-5.2631578947368446E-2</v>
      </c>
      <c r="X39" s="418">
        <f t="shared" si="4"/>
        <v>-6.2500000000000014E-2</v>
      </c>
      <c r="Y39" s="419">
        <f t="shared" si="5"/>
        <v>-0.16363636363636203</v>
      </c>
      <c r="Z39" s="419">
        <f t="shared" si="7"/>
        <v>-1.6232866765642135E-2</v>
      </c>
      <c r="AB39" s="429">
        <f t="shared" si="8"/>
        <v>0.25</v>
      </c>
      <c r="AC39" s="430">
        <f t="shared" si="8"/>
        <v>0</v>
      </c>
      <c r="AD39" s="430">
        <f t="shared" si="8"/>
        <v>0</v>
      </c>
      <c r="AE39" s="432">
        <f t="shared" si="8"/>
        <v>0</v>
      </c>
      <c r="AF39" s="433">
        <f t="shared" si="8"/>
        <v>0</v>
      </c>
      <c r="AG39" s="434">
        <f t="shared" si="8"/>
        <v>0</v>
      </c>
      <c r="AH39" s="434">
        <f t="shared" si="8"/>
        <v>0</v>
      </c>
    </row>
    <row r="40" spans="1:34" ht="33" customHeight="1" x14ac:dyDescent="0.35">
      <c r="A40" s="413" t="s">
        <v>9</v>
      </c>
      <c r="B40" s="260" t="s">
        <v>119</v>
      </c>
      <c r="C40" s="259" t="s">
        <v>120</v>
      </c>
      <c r="D40" s="260" t="s">
        <v>916</v>
      </c>
      <c r="E40" s="260" t="s">
        <v>121</v>
      </c>
      <c r="F40" s="414"/>
      <c r="G40" s="429">
        <v>0</v>
      </c>
      <c r="H40" s="430">
        <v>0</v>
      </c>
      <c r="I40" s="431">
        <v>0</v>
      </c>
      <c r="J40" s="432">
        <v>0</v>
      </c>
      <c r="K40" s="433">
        <v>0.25</v>
      </c>
      <c r="L40" s="434">
        <v>0.12727272727272848</v>
      </c>
      <c r="M40" s="435">
        <v>102.46476404638349</v>
      </c>
      <c r="N40" s="420">
        <v>-102.46476404638349</v>
      </c>
      <c r="T40" s="415">
        <f t="shared" si="0"/>
        <v>0</v>
      </c>
      <c r="U40" s="416">
        <f t="shared" si="1"/>
        <v>0</v>
      </c>
      <c r="V40" s="416">
        <f t="shared" si="2"/>
        <v>0</v>
      </c>
      <c r="W40" s="417">
        <f t="shared" si="3"/>
        <v>-0.15789473684210534</v>
      </c>
      <c r="X40" s="418">
        <f t="shared" si="4"/>
        <v>6.2499999999999986E-2</v>
      </c>
      <c r="Y40" s="419">
        <f t="shared" si="5"/>
        <v>-0.16363636363636203</v>
      </c>
      <c r="Z40" s="419">
        <f t="shared" si="7"/>
        <v>-0.11976810794084562</v>
      </c>
      <c r="AB40" s="429">
        <f t="shared" si="8"/>
        <v>0</v>
      </c>
      <c r="AC40" s="430">
        <f t="shared" si="8"/>
        <v>0</v>
      </c>
      <c r="AD40" s="430">
        <f t="shared" si="8"/>
        <v>0</v>
      </c>
      <c r="AE40" s="432">
        <f t="shared" si="8"/>
        <v>0</v>
      </c>
      <c r="AF40" s="433">
        <f t="shared" si="8"/>
        <v>6.2499999999999986E-2</v>
      </c>
      <c r="AG40" s="434">
        <f t="shared" si="8"/>
        <v>0</v>
      </c>
      <c r="AH40" s="434">
        <f t="shared" si="8"/>
        <v>0</v>
      </c>
    </row>
    <row r="41" spans="1:34" ht="33" customHeight="1" x14ac:dyDescent="0.35">
      <c r="A41" s="426" t="s">
        <v>9</v>
      </c>
      <c r="B41" s="427" t="s">
        <v>122</v>
      </c>
      <c r="C41" s="428" t="s">
        <v>123</v>
      </c>
      <c r="D41" s="260" t="s">
        <v>916</v>
      </c>
      <c r="E41" s="260" t="s">
        <v>124</v>
      </c>
      <c r="F41" s="414"/>
      <c r="G41" s="429">
        <v>2</v>
      </c>
      <c r="H41" s="430">
        <v>4</v>
      </c>
      <c r="I41" s="431">
        <v>4</v>
      </c>
      <c r="J41" s="432">
        <v>0.18181818181818174</v>
      </c>
      <c r="K41" s="433">
        <v>1</v>
      </c>
      <c r="L41" s="434">
        <v>1</v>
      </c>
      <c r="M41" s="435">
        <v>7.0578832419273247</v>
      </c>
      <c r="N41" s="420">
        <v>-7.0578832419273247</v>
      </c>
      <c r="T41" s="415">
        <f t="shared" si="0"/>
        <v>0.5</v>
      </c>
      <c r="U41" s="416">
        <f t="shared" si="1"/>
        <v>1</v>
      </c>
      <c r="V41" s="416">
        <f t="shared" si="2"/>
        <v>1</v>
      </c>
      <c r="W41" s="417">
        <f t="shared" si="3"/>
        <v>5.2631578947368286E-2</v>
      </c>
      <c r="X41" s="418">
        <f t="shared" si="4"/>
        <v>1</v>
      </c>
      <c r="Y41" s="419">
        <f t="shared" si="5"/>
        <v>1</v>
      </c>
      <c r="Z41" s="419">
        <f t="shared" si="7"/>
        <v>0.76661530565375047</v>
      </c>
      <c r="AB41" s="429">
        <f t="shared" si="8"/>
        <v>0.5</v>
      </c>
      <c r="AC41" s="430">
        <f t="shared" si="8"/>
        <v>1</v>
      </c>
      <c r="AD41" s="430">
        <f t="shared" si="8"/>
        <v>1</v>
      </c>
      <c r="AE41" s="432">
        <f t="shared" si="8"/>
        <v>5.2631578947368286E-2</v>
      </c>
      <c r="AF41" s="433">
        <f t="shared" si="8"/>
        <v>1</v>
      </c>
      <c r="AG41" s="434">
        <f t="shared" si="8"/>
        <v>1</v>
      </c>
      <c r="AH41" s="434">
        <f t="shared" si="8"/>
        <v>0.76661530565375047</v>
      </c>
    </row>
    <row r="42" spans="1:34" ht="33" customHeight="1" x14ac:dyDescent="0.35">
      <c r="A42" s="413" t="s">
        <v>9</v>
      </c>
      <c r="B42" s="260" t="s">
        <v>125</v>
      </c>
      <c r="C42" s="259" t="s">
        <v>126</v>
      </c>
      <c r="D42" s="260" t="s">
        <v>916</v>
      </c>
      <c r="E42" s="260" t="s">
        <v>127</v>
      </c>
      <c r="F42" s="414"/>
      <c r="G42" s="429">
        <v>0</v>
      </c>
      <c r="H42" s="430">
        <v>0</v>
      </c>
      <c r="I42" s="431">
        <v>0</v>
      </c>
      <c r="J42" s="432">
        <v>4.545454545454547E-2</v>
      </c>
      <c r="K42" s="433">
        <v>0.2</v>
      </c>
      <c r="L42" s="434">
        <v>0.12727272727272848</v>
      </c>
      <c r="M42" s="435">
        <v>88.55663287703193</v>
      </c>
      <c r="N42" s="420">
        <v>-88.55663287703193</v>
      </c>
      <c r="T42" s="415">
        <f t="shared" si="0"/>
        <v>0</v>
      </c>
      <c r="U42" s="416">
        <f t="shared" si="1"/>
        <v>0</v>
      </c>
      <c r="V42" s="416">
        <f t="shared" si="2"/>
        <v>0</v>
      </c>
      <c r="W42" s="417">
        <f t="shared" si="3"/>
        <v>-0.10526315789473689</v>
      </c>
      <c r="X42" s="418">
        <f t="shared" si="4"/>
        <v>0</v>
      </c>
      <c r="Y42" s="419">
        <f t="shared" si="5"/>
        <v>-0.16363636363636203</v>
      </c>
      <c r="Z42" s="419">
        <f t="shared" si="7"/>
        <v>9.4462283697429872E-3</v>
      </c>
      <c r="AB42" s="429">
        <f t="shared" si="8"/>
        <v>0</v>
      </c>
      <c r="AC42" s="430">
        <f t="shared" si="8"/>
        <v>0</v>
      </c>
      <c r="AD42" s="430">
        <f t="shared" si="8"/>
        <v>0</v>
      </c>
      <c r="AE42" s="432">
        <f t="shared" si="8"/>
        <v>0</v>
      </c>
      <c r="AF42" s="433">
        <f t="shared" si="8"/>
        <v>0</v>
      </c>
      <c r="AG42" s="434">
        <f t="shared" si="8"/>
        <v>0</v>
      </c>
      <c r="AH42" s="434">
        <f t="shared" si="8"/>
        <v>9.4462283697429872E-3</v>
      </c>
    </row>
    <row r="43" spans="1:34" ht="33" customHeight="1" x14ac:dyDescent="0.35">
      <c r="A43" s="413" t="s">
        <v>9</v>
      </c>
      <c r="B43" s="260" t="s">
        <v>128</v>
      </c>
      <c r="C43" s="259" t="s">
        <v>129</v>
      </c>
      <c r="D43" s="260" t="s">
        <v>916</v>
      </c>
      <c r="E43" s="260" t="s">
        <v>130</v>
      </c>
      <c r="F43" s="414"/>
      <c r="G43" s="429">
        <v>0</v>
      </c>
      <c r="H43" s="430">
        <v>0</v>
      </c>
      <c r="I43" s="431">
        <v>0</v>
      </c>
      <c r="J43" s="432">
        <v>9.0909090909090939E-2</v>
      </c>
      <c r="K43" s="433">
        <v>0.1</v>
      </c>
      <c r="L43" s="434">
        <v>0.12727272727272848</v>
      </c>
      <c r="M43" s="435">
        <v>68.073232319671163</v>
      </c>
      <c r="N43" s="420">
        <v>-68.073232319671163</v>
      </c>
      <c r="T43" s="415">
        <f t="shared" si="0"/>
        <v>0</v>
      </c>
      <c r="U43" s="416">
        <f t="shared" si="1"/>
        <v>0</v>
      </c>
      <c r="V43" s="416">
        <f t="shared" si="2"/>
        <v>0</v>
      </c>
      <c r="W43" s="417">
        <f t="shared" si="3"/>
        <v>-5.2631578947368446E-2</v>
      </c>
      <c r="X43" s="418">
        <f t="shared" si="4"/>
        <v>-0.125</v>
      </c>
      <c r="Y43" s="419">
        <f t="shared" si="5"/>
        <v>-0.16363636363636203</v>
      </c>
      <c r="Z43" s="419">
        <f t="shared" si="7"/>
        <v>0.19974850379232309</v>
      </c>
      <c r="AB43" s="429">
        <f t="shared" si="8"/>
        <v>0</v>
      </c>
      <c r="AC43" s="430">
        <f t="shared" si="8"/>
        <v>0</v>
      </c>
      <c r="AD43" s="430">
        <f t="shared" si="8"/>
        <v>0</v>
      </c>
      <c r="AE43" s="432">
        <f t="shared" si="8"/>
        <v>0</v>
      </c>
      <c r="AF43" s="433">
        <f t="shared" si="8"/>
        <v>0</v>
      </c>
      <c r="AG43" s="434">
        <f t="shared" si="8"/>
        <v>0</v>
      </c>
      <c r="AH43" s="434">
        <f t="shared" si="8"/>
        <v>0.19974850379232309</v>
      </c>
    </row>
    <row r="44" spans="1:34" ht="33" customHeight="1" x14ac:dyDescent="0.35">
      <c r="A44" s="413" t="s">
        <v>9</v>
      </c>
      <c r="B44" s="260" t="s">
        <v>131</v>
      </c>
      <c r="C44" s="259" t="s">
        <v>132</v>
      </c>
      <c r="D44" s="260" t="s">
        <v>919</v>
      </c>
      <c r="E44" s="260" t="s">
        <v>133</v>
      </c>
      <c r="F44" s="414"/>
      <c r="G44" s="429">
        <v>2</v>
      </c>
      <c r="H44" s="430">
        <v>1</v>
      </c>
      <c r="I44" s="431">
        <v>0</v>
      </c>
      <c r="J44" s="432">
        <v>0.18181818181818174</v>
      </c>
      <c r="K44" s="433">
        <v>0.65</v>
      </c>
      <c r="L44" s="434">
        <v>0.45454545454545536</v>
      </c>
      <c r="M44" s="435">
        <v>91.616455982582536</v>
      </c>
      <c r="N44" s="420">
        <v>-91.616455982582536</v>
      </c>
      <c r="T44" s="415">
        <f t="shared" si="0"/>
        <v>0.5</v>
      </c>
      <c r="U44" s="416">
        <f t="shared" si="1"/>
        <v>0.25</v>
      </c>
      <c r="V44" s="416">
        <f t="shared" si="2"/>
        <v>0</v>
      </c>
      <c r="W44" s="417">
        <f t="shared" si="3"/>
        <v>5.2631578947368286E-2</v>
      </c>
      <c r="X44" s="418">
        <f t="shared" si="4"/>
        <v>0.5625</v>
      </c>
      <c r="Y44" s="419">
        <f t="shared" si="5"/>
        <v>0.27272727272727382</v>
      </c>
      <c r="Z44" s="419">
        <f t="shared" si="7"/>
        <v>-1.8981243804432599E-2</v>
      </c>
      <c r="AB44" s="429">
        <f t="shared" si="8"/>
        <v>0.5</v>
      </c>
      <c r="AC44" s="430">
        <f t="shared" si="8"/>
        <v>0.25</v>
      </c>
      <c r="AD44" s="430">
        <f t="shared" si="8"/>
        <v>0</v>
      </c>
      <c r="AE44" s="432">
        <f t="shared" si="8"/>
        <v>5.2631578947368286E-2</v>
      </c>
      <c r="AF44" s="433">
        <f t="shared" si="8"/>
        <v>0.5625</v>
      </c>
      <c r="AG44" s="434">
        <f t="shared" si="8"/>
        <v>0.27272727272727382</v>
      </c>
      <c r="AH44" s="434">
        <f t="shared" si="8"/>
        <v>0</v>
      </c>
    </row>
    <row r="45" spans="1:34" ht="33" customHeight="1" x14ac:dyDescent="0.35">
      <c r="A45" s="413" t="s">
        <v>9</v>
      </c>
      <c r="B45" s="260" t="s">
        <v>134</v>
      </c>
      <c r="C45" s="259" t="s">
        <v>135</v>
      </c>
      <c r="D45" s="260" t="s">
        <v>918</v>
      </c>
      <c r="E45" s="260" t="s">
        <v>136</v>
      </c>
      <c r="F45" s="414"/>
      <c r="G45" s="429">
        <v>1</v>
      </c>
      <c r="H45" s="430">
        <v>1</v>
      </c>
      <c r="I45" s="431">
        <v>0</v>
      </c>
      <c r="J45" s="432">
        <v>0.13636363636363641</v>
      </c>
      <c r="K45" s="433">
        <v>0.44999999999999996</v>
      </c>
      <c r="L45" s="434">
        <v>0.50909090909090982</v>
      </c>
      <c r="M45" s="435">
        <v>79.682698628517016</v>
      </c>
      <c r="N45" s="420">
        <v>-79.682698628517016</v>
      </c>
      <c r="T45" s="415">
        <f t="shared" si="0"/>
        <v>0.25</v>
      </c>
      <c r="U45" s="416">
        <f t="shared" si="1"/>
        <v>0.25</v>
      </c>
      <c r="V45" s="416">
        <f t="shared" si="2"/>
        <v>0</v>
      </c>
      <c r="W45" s="417">
        <f t="shared" si="3"/>
        <v>0</v>
      </c>
      <c r="X45" s="418">
        <f t="shared" si="4"/>
        <v>0.31249999999999989</v>
      </c>
      <c r="Y45" s="419">
        <f t="shared" si="5"/>
        <v>0.3454545454545464</v>
      </c>
      <c r="Z45" s="419">
        <f t="shared" si="7"/>
        <v>9.1890052807668252E-2</v>
      </c>
      <c r="AB45" s="429">
        <f t="shared" si="8"/>
        <v>0.25</v>
      </c>
      <c r="AC45" s="430">
        <f t="shared" si="8"/>
        <v>0.25</v>
      </c>
      <c r="AD45" s="430">
        <f t="shared" si="8"/>
        <v>0</v>
      </c>
      <c r="AE45" s="432">
        <f t="shared" si="8"/>
        <v>0</v>
      </c>
      <c r="AF45" s="433">
        <f t="shared" si="8"/>
        <v>0.31249999999999989</v>
      </c>
      <c r="AG45" s="434">
        <f t="shared" si="8"/>
        <v>0.3454545454545464</v>
      </c>
      <c r="AH45" s="434">
        <f t="shared" si="8"/>
        <v>9.1890052807668252E-2</v>
      </c>
    </row>
    <row r="46" spans="1:34" ht="33" customHeight="1" x14ac:dyDescent="0.35">
      <c r="A46" s="413" t="s">
        <v>9</v>
      </c>
      <c r="B46" s="260" t="s">
        <v>137</v>
      </c>
      <c r="C46" s="259" t="s">
        <v>138</v>
      </c>
      <c r="D46" s="260" t="s">
        <v>916</v>
      </c>
      <c r="E46" s="260" t="s">
        <v>139</v>
      </c>
      <c r="F46" s="414"/>
      <c r="G46" s="429">
        <v>0</v>
      </c>
      <c r="H46" s="430">
        <v>0</v>
      </c>
      <c r="I46" s="431">
        <v>0</v>
      </c>
      <c r="J46" s="432">
        <v>0.18181818181818174</v>
      </c>
      <c r="K46" s="433">
        <v>0.44999999999999996</v>
      </c>
      <c r="L46" s="434">
        <v>0.45454545454545536</v>
      </c>
      <c r="M46" s="435">
        <v>355.20891364902519</v>
      </c>
      <c r="N46" s="420">
        <v>-355.20891364902519</v>
      </c>
      <c r="T46" s="415">
        <f t="shared" si="0"/>
        <v>0</v>
      </c>
      <c r="U46" s="416">
        <f t="shared" si="1"/>
        <v>0</v>
      </c>
      <c r="V46" s="416">
        <f t="shared" si="2"/>
        <v>0</v>
      </c>
      <c r="W46" s="417">
        <f t="shared" si="3"/>
        <v>5.2631578947368286E-2</v>
      </c>
      <c r="X46" s="418">
        <f t="shared" si="4"/>
        <v>0.31249999999999989</v>
      </c>
      <c r="Y46" s="419">
        <f t="shared" si="5"/>
        <v>0.27272727272727382</v>
      </c>
      <c r="Z46" s="419">
        <f t="shared" si="7"/>
        <v>-2.4679029615476424</v>
      </c>
      <c r="AB46" s="429">
        <f t="shared" si="8"/>
        <v>0</v>
      </c>
      <c r="AC46" s="430">
        <f t="shared" si="8"/>
        <v>0</v>
      </c>
      <c r="AD46" s="430">
        <f t="shared" si="8"/>
        <v>0</v>
      </c>
      <c r="AE46" s="432">
        <f t="shared" si="8"/>
        <v>5.2631578947368286E-2</v>
      </c>
      <c r="AF46" s="433">
        <f t="shared" si="8"/>
        <v>0.31249999999999989</v>
      </c>
      <c r="AG46" s="434">
        <f t="shared" si="8"/>
        <v>0.27272727272727382</v>
      </c>
      <c r="AH46" s="434">
        <f t="shared" si="8"/>
        <v>0</v>
      </c>
    </row>
    <row r="47" spans="1:34" ht="33" customHeight="1" x14ac:dyDescent="0.35">
      <c r="A47" s="413" t="s">
        <v>9</v>
      </c>
      <c r="B47" s="260" t="s">
        <v>140</v>
      </c>
      <c r="C47" s="259" t="s">
        <v>141</v>
      </c>
      <c r="D47" s="260" t="s">
        <v>919</v>
      </c>
      <c r="E47" s="260" t="s">
        <v>142</v>
      </c>
      <c r="F47" s="414"/>
      <c r="G47" s="429">
        <v>1</v>
      </c>
      <c r="H47" s="430">
        <v>0</v>
      </c>
      <c r="I47" s="431">
        <v>0</v>
      </c>
      <c r="J47" s="432">
        <v>9.0909090909090939E-2</v>
      </c>
      <c r="K47" s="433">
        <v>0.25</v>
      </c>
      <c r="L47" s="434">
        <v>0.23636363636363755</v>
      </c>
      <c r="M47" s="435">
        <v>130.98970415719887</v>
      </c>
      <c r="N47" s="420">
        <v>-130.98970415719887</v>
      </c>
      <c r="T47" s="415">
        <f t="shared" si="0"/>
        <v>0.25</v>
      </c>
      <c r="U47" s="416">
        <f t="shared" si="1"/>
        <v>0</v>
      </c>
      <c r="V47" s="416">
        <f t="shared" si="2"/>
        <v>0</v>
      </c>
      <c r="W47" s="417">
        <f t="shared" si="3"/>
        <v>-5.2631578947368446E-2</v>
      </c>
      <c r="X47" s="418">
        <f t="shared" si="4"/>
        <v>6.2499999999999986E-2</v>
      </c>
      <c r="Y47" s="419">
        <f t="shared" si="5"/>
        <v>-1.8181818181816595E-2</v>
      </c>
      <c r="Z47" s="419">
        <f t="shared" si="7"/>
        <v>-0.38478079439296381</v>
      </c>
      <c r="AB47" s="429">
        <f t="shared" si="8"/>
        <v>0.25</v>
      </c>
      <c r="AC47" s="430">
        <f t="shared" si="8"/>
        <v>0</v>
      </c>
      <c r="AD47" s="430">
        <f t="shared" si="8"/>
        <v>0</v>
      </c>
      <c r="AE47" s="432">
        <f t="shared" si="8"/>
        <v>0</v>
      </c>
      <c r="AF47" s="433">
        <f t="shared" si="8"/>
        <v>6.2499999999999986E-2</v>
      </c>
      <c r="AG47" s="434">
        <f t="shared" si="8"/>
        <v>0</v>
      </c>
      <c r="AH47" s="434">
        <f t="shared" si="8"/>
        <v>0</v>
      </c>
    </row>
    <row r="48" spans="1:34" ht="33" customHeight="1" x14ac:dyDescent="0.35">
      <c r="A48" s="413" t="s">
        <v>9</v>
      </c>
      <c r="B48" s="260" t="s">
        <v>143</v>
      </c>
      <c r="C48" s="259" t="s">
        <v>144</v>
      </c>
      <c r="D48" s="260" t="s">
        <v>916</v>
      </c>
      <c r="E48" s="260" t="s">
        <v>145</v>
      </c>
      <c r="F48" s="414" t="s">
        <v>964</v>
      </c>
      <c r="G48" s="429">
        <v>0</v>
      </c>
      <c r="H48" s="430">
        <v>0</v>
      </c>
      <c r="I48" s="431">
        <v>0</v>
      </c>
      <c r="J48" s="432">
        <v>0.13636363636363641</v>
      </c>
      <c r="K48" s="433">
        <v>0.2</v>
      </c>
      <c r="L48" s="434">
        <v>0.23636363636363755</v>
      </c>
      <c r="M48" s="435">
        <v>144.7157149905384</v>
      </c>
      <c r="N48" s="420">
        <v>-144.7157149905384</v>
      </c>
      <c r="T48" s="415">
        <f t="shared" si="0"/>
        <v>0</v>
      </c>
      <c r="U48" s="416">
        <f t="shared" si="1"/>
        <v>0</v>
      </c>
      <c r="V48" s="416">
        <f t="shared" si="2"/>
        <v>0</v>
      </c>
      <c r="W48" s="417">
        <f t="shared" si="3"/>
        <v>0</v>
      </c>
      <c r="X48" s="418">
        <f t="shared" si="4"/>
        <v>0</v>
      </c>
      <c r="Y48" s="419">
        <f t="shared" si="5"/>
        <v>-1.8181818181816595E-2</v>
      </c>
      <c r="Z48" s="419">
        <f t="shared" si="7"/>
        <v>-0.51230313067422328</v>
      </c>
      <c r="AB48" s="429">
        <f t="shared" si="8"/>
        <v>0</v>
      </c>
      <c r="AC48" s="430">
        <f t="shared" si="8"/>
        <v>0</v>
      </c>
      <c r="AD48" s="430">
        <f t="shared" si="8"/>
        <v>0</v>
      </c>
      <c r="AE48" s="432">
        <f t="shared" si="8"/>
        <v>0</v>
      </c>
      <c r="AF48" s="433">
        <f t="shared" si="8"/>
        <v>0</v>
      </c>
      <c r="AG48" s="434">
        <f t="shared" si="8"/>
        <v>0</v>
      </c>
      <c r="AH48" s="434">
        <f t="shared" si="8"/>
        <v>0</v>
      </c>
    </row>
    <row r="49" spans="1:34" ht="33" customHeight="1" x14ac:dyDescent="0.35">
      <c r="A49" s="413" t="s">
        <v>9</v>
      </c>
      <c r="B49" s="260" t="s">
        <v>146</v>
      </c>
      <c r="C49" s="259" t="s">
        <v>147</v>
      </c>
      <c r="D49" s="260" t="s">
        <v>916</v>
      </c>
      <c r="E49" s="260" t="s">
        <v>148</v>
      </c>
      <c r="F49" s="414"/>
      <c r="G49" s="429">
        <v>0</v>
      </c>
      <c r="H49" s="430">
        <v>0</v>
      </c>
      <c r="I49" s="431">
        <v>0</v>
      </c>
      <c r="J49" s="432">
        <v>9.0909090909090939E-2</v>
      </c>
      <c r="K49" s="433">
        <v>0.2</v>
      </c>
      <c r="L49" s="434">
        <v>0.18181818181818302</v>
      </c>
      <c r="M49" s="435">
        <v>133.54517077911447</v>
      </c>
      <c r="N49" s="420">
        <v>-133.54517077911447</v>
      </c>
      <c r="T49" s="415">
        <f t="shared" si="0"/>
        <v>0</v>
      </c>
      <c r="U49" s="416">
        <f t="shared" si="1"/>
        <v>0</v>
      </c>
      <c r="V49" s="416">
        <f t="shared" si="2"/>
        <v>0</v>
      </c>
      <c r="W49" s="417">
        <f t="shared" si="3"/>
        <v>-5.2631578947368446E-2</v>
      </c>
      <c r="X49" s="418">
        <f t="shared" si="4"/>
        <v>0</v>
      </c>
      <c r="Y49" s="419">
        <f t="shared" si="5"/>
        <v>-9.0909090909089316E-2</v>
      </c>
      <c r="Z49" s="419">
        <f t="shared" si="7"/>
        <v>-0.40852251206113854</v>
      </c>
      <c r="AB49" s="429">
        <f t="shared" si="8"/>
        <v>0</v>
      </c>
      <c r="AC49" s="430">
        <f t="shared" si="8"/>
        <v>0</v>
      </c>
      <c r="AD49" s="430">
        <f t="shared" si="8"/>
        <v>0</v>
      </c>
      <c r="AE49" s="432">
        <f t="shared" si="8"/>
        <v>0</v>
      </c>
      <c r="AF49" s="433">
        <f t="shared" si="8"/>
        <v>0</v>
      </c>
      <c r="AG49" s="434">
        <f t="shared" si="8"/>
        <v>0</v>
      </c>
      <c r="AH49" s="434">
        <f t="shared" si="8"/>
        <v>0</v>
      </c>
    </row>
    <row r="50" spans="1:34" ht="33" customHeight="1" x14ac:dyDescent="0.35">
      <c r="A50" s="413" t="s">
        <v>9</v>
      </c>
      <c r="B50" s="260" t="s">
        <v>149</v>
      </c>
      <c r="C50" s="259" t="s">
        <v>150</v>
      </c>
      <c r="D50" s="260" t="s">
        <v>916</v>
      </c>
      <c r="E50" s="260" t="s">
        <v>151</v>
      </c>
      <c r="F50" s="414"/>
      <c r="G50" s="429">
        <v>0</v>
      </c>
      <c r="H50" s="430">
        <v>0</v>
      </c>
      <c r="I50" s="431">
        <v>0</v>
      </c>
      <c r="J50" s="432">
        <v>0.13636363636363641</v>
      </c>
      <c r="K50" s="433">
        <v>0.3</v>
      </c>
      <c r="L50" s="434">
        <v>0.40000000000000091</v>
      </c>
      <c r="M50" s="435">
        <v>124.85061700314944</v>
      </c>
      <c r="N50" s="420">
        <v>-124.85061700314944</v>
      </c>
      <c r="T50" s="415">
        <f t="shared" si="0"/>
        <v>0</v>
      </c>
      <c r="U50" s="416">
        <f t="shared" si="1"/>
        <v>0</v>
      </c>
      <c r="V50" s="416">
        <f t="shared" si="2"/>
        <v>0</v>
      </c>
      <c r="W50" s="417">
        <f t="shared" si="3"/>
        <v>0</v>
      </c>
      <c r="X50" s="418">
        <f t="shared" si="4"/>
        <v>0.12499999999999997</v>
      </c>
      <c r="Y50" s="419">
        <f t="shared" si="5"/>
        <v>0.2000000000000012</v>
      </c>
      <c r="Z50" s="419">
        <f t="shared" si="7"/>
        <v>-0.3277452327848443</v>
      </c>
      <c r="AB50" s="429">
        <f t="shared" si="8"/>
        <v>0</v>
      </c>
      <c r="AC50" s="430">
        <f t="shared" si="8"/>
        <v>0</v>
      </c>
      <c r="AD50" s="430">
        <f t="shared" si="8"/>
        <v>0</v>
      </c>
      <c r="AE50" s="432">
        <f t="shared" si="8"/>
        <v>0</v>
      </c>
      <c r="AF50" s="433">
        <f t="shared" si="8"/>
        <v>0.12499999999999997</v>
      </c>
      <c r="AG50" s="434">
        <f t="shared" si="8"/>
        <v>0.2000000000000012</v>
      </c>
      <c r="AH50" s="434">
        <f t="shared" si="8"/>
        <v>0</v>
      </c>
    </row>
    <row r="51" spans="1:34" ht="33" customHeight="1" x14ac:dyDescent="0.35">
      <c r="A51" s="413" t="s">
        <v>9</v>
      </c>
      <c r="B51" s="260" t="s">
        <v>152</v>
      </c>
      <c r="C51" s="259" t="s">
        <v>153</v>
      </c>
      <c r="D51" s="260" t="s">
        <v>916</v>
      </c>
      <c r="E51" s="260" t="s">
        <v>154</v>
      </c>
      <c r="F51" s="414"/>
      <c r="G51" s="429">
        <v>0</v>
      </c>
      <c r="H51" s="430">
        <v>0</v>
      </c>
      <c r="I51" s="431">
        <v>1</v>
      </c>
      <c r="J51" s="432">
        <v>0.18181818181818174</v>
      </c>
      <c r="K51" s="433">
        <v>0.2</v>
      </c>
      <c r="L51" s="434">
        <v>0.18181818181818302</v>
      </c>
      <c r="M51" s="435">
        <v>137.38839337428487</v>
      </c>
      <c r="N51" s="420">
        <v>-137.38839337428487</v>
      </c>
      <c r="T51" s="415">
        <f t="shared" si="0"/>
        <v>0</v>
      </c>
      <c r="U51" s="416">
        <f t="shared" si="1"/>
        <v>0</v>
      </c>
      <c r="V51" s="416">
        <f t="shared" si="2"/>
        <v>0.25</v>
      </c>
      <c r="W51" s="417">
        <f t="shared" si="3"/>
        <v>5.2631578947368286E-2</v>
      </c>
      <c r="X51" s="418">
        <f t="shared" si="4"/>
        <v>0</v>
      </c>
      <c r="Y51" s="419">
        <f t="shared" si="5"/>
        <v>-9.0909090909089316E-2</v>
      </c>
      <c r="Z51" s="419">
        <f t="shared" si="7"/>
        <v>-0.4442282047154561</v>
      </c>
      <c r="AB51" s="429">
        <f t="shared" si="8"/>
        <v>0</v>
      </c>
      <c r="AC51" s="430">
        <f t="shared" si="8"/>
        <v>0</v>
      </c>
      <c r="AD51" s="430">
        <f t="shared" si="8"/>
        <v>0.25</v>
      </c>
      <c r="AE51" s="432">
        <f t="shared" si="8"/>
        <v>5.2631578947368286E-2</v>
      </c>
      <c r="AF51" s="433">
        <f t="shared" si="8"/>
        <v>0</v>
      </c>
      <c r="AG51" s="434">
        <f t="shared" si="8"/>
        <v>0</v>
      </c>
      <c r="AH51" s="434">
        <f t="shared" si="8"/>
        <v>0</v>
      </c>
    </row>
    <row r="52" spans="1:34" ht="33" customHeight="1" x14ac:dyDescent="0.35">
      <c r="A52" s="413" t="s">
        <v>9</v>
      </c>
      <c r="B52" s="260" t="s">
        <v>155</v>
      </c>
      <c r="C52" s="259" t="s">
        <v>156</v>
      </c>
      <c r="D52" s="260" t="s">
        <v>916</v>
      </c>
      <c r="E52" s="260" t="s">
        <v>157</v>
      </c>
      <c r="F52" s="414"/>
      <c r="G52" s="429">
        <v>0</v>
      </c>
      <c r="H52" s="430">
        <v>0</v>
      </c>
      <c r="I52" s="431">
        <v>0</v>
      </c>
      <c r="J52" s="432">
        <v>0.13636363636363641</v>
      </c>
      <c r="K52" s="433">
        <v>0.2</v>
      </c>
      <c r="L52" s="434">
        <v>0.18181818181818302</v>
      </c>
      <c r="M52" s="435">
        <v>337.32590529247921</v>
      </c>
      <c r="N52" s="420">
        <v>-337.32590529247921</v>
      </c>
      <c r="T52" s="415">
        <f t="shared" si="0"/>
        <v>0</v>
      </c>
      <c r="U52" s="416">
        <f t="shared" si="1"/>
        <v>0</v>
      </c>
      <c r="V52" s="416">
        <f t="shared" si="2"/>
        <v>0</v>
      </c>
      <c r="W52" s="417">
        <f t="shared" si="3"/>
        <v>0</v>
      </c>
      <c r="X52" s="418">
        <f t="shared" si="4"/>
        <v>0</v>
      </c>
      <c r="Y52" s="419">
        <f t="shared" si="5"/>
        <v>-9.0909090909089316E-2</v>
      </c>
      <c r="Z52" s="419">
        <f t="shared" si="7"/>
        <v>-2.3017597876092326</v>
      </c>
      <c r="AB52" s="429">
        <f t="shared" si="8"/>
        <v>0</v>
      </c>
      <c r="AC52" s="430">
        <f t="shared" si="8"/>
        <v>0</v>
      </c>
      <c r="AD52" s="430">
        <f t="shared" si="8"/>
        <v>0</v>
      </c>
      <c r="AE52" s="432">
        <f t="shared" si="8"/>
        <v>0</v>
      </c>
      <c r="AF52" s="433">
        <f t="shared" si="8"/>
        <v>0</v>
      </c>
      <c r="AG52" s="434">
        <f t="shared" si="8"/>
        <v>0</v>
      </c>
      <c r="AH52" s="434">
        <f t="shared" si="8"/>
        <v>0</v>
      </c>
    </row>
    <row r="53" spans="1:34" ht="33" customHeight="1" x14ac:dyDescent="0.35">
      <c r="A53" s="413" t="s">
        <v>9</v>
      </c>
      <c r="B53" s="260" t="s">
        <v>158</v>
      </c>
      <c r="C53" s="259" t="s">
        <v>159</v>
      </c>
      <c r="D53" s="260" t="s">
        <v>916</v>
      </c>
      <c r="E53" s="260" t="s">
        <v>160</v>
      </c>
      <c r="F53" s="414"/>
      <c r="G53" s="429">
        <v>2</v>
      </c>
      <c r="H53" s="430">
        <v>4</v>
      </c>
      <c r="I53" s="431">
        <v>4</v>
      </c>
      <c r="J53" s="452">
        <v>0.18181818181818174</v>
      </c>
      <c r="K53" s="453">
        <v>0.2</v>
      </c>
      <c r="L53" s="454">
        <v>0.16666666666666657</v>
      </c>
      <c r="M53" s="455">
        <v>144.94489651072348</v>
      </c>
      <c r="N53" s="420">
        <v>-144.94489651072348</v>
      </c>
      <c r="T53" s="415">
        <f t="shared" si="0"/>
        <v>0.5</v>
      </c>
      <c r="U53" s="416">
        <f t="shared" si="1"/>
        <v>1</v>
      </c>
      <c r="V53" s="416">
        <f t="shared" si="2"/>
        <v>1</v>
      </c>
      <c r="W53" s="417">
        <f t="shared" si="3"/>
        <v>5.2631578947368286E-2</v>
      </c>
      <c r="X53" s="418">
        <f t="shared" si="4"/>
        <v>0</v>
      </c>
      <c r="Y53" s="419">
        <f t="shared" si="5"/>
        <v>-0.11111111111111123</v>
      </c>
      <c r="Z53" s="419">
        <f t="shared" si="7"/>
        <v>-0.51443235548989252</v>
      </c>
      <c r="AB53" s="429">
        <f t="shared" si="8"/>
        <v>0.5</v>
      </c>
      <c r="AC53" s="430">
        <f t="shared" si="8"/>
        <v>1</v>
      </c>
      <c r="AD53" s="430">
        <f t="shared" si="8"/>
        <v>1</v>
      </c>
      <c r="AE53" s="432">
        <f t="shared" si="8"/>
        <v>5.2631578947368286E-2</v>
      </c>
      <c r="AF53" s="433">
        <f t="shared" si="8"/>
        <v>0</v>
      </c>
      <c r="AG53" s="434">
        <f t="shared" si="8"/>
        <v>0</v>
      </c>
      <c r="AH53" s="434">
        <f t="shared" si="8"/>
        <v>0</v>
      </c>
    </row>
    <row r="54" spans="1:34" ht="33" customHeight="1" x14ac:dyDescent="0.35">
      <c r="A54" s="413" t="s">
        <v>9</v>
      </c>
      <c r="B54" s="260" t="s">
        <v>161</v>
      </c>
      <c r="C54" s="259" t="s">
        <v>162</v>
      </c>
      <c r="D54" s="260" t="s">
        <v>918</v>
      </c>
      <c r="E54" s="260" t="s">
        <v>163</v>
      </c>
      <c r="F54" s="414"/>
      <c r="G54" s="429">
        <v>0</v>
      </c>
      <c r="H54" s="430">
        <v>0</v>
      </c>
      <c r="I54" s="431">
        <v>0</v>
      </c>
      <c r="J54" s="432">
        <v>0.22727272727272735</v>
      </c>
      <c r="K54" s="433">
        <v>0.6</v>
      </c>
      <c r="L54" s="434">
        <v>0.45454545454545536</v>
      </c>
      <c r="M54" s="435">
        <v>86.925628420926031</v>
      </c>
      <c r="N54" s="420">
        <v>-86.925628420926031</v>
      </c>
      <c r="T54" s="415">
        <f t="shared" si="0"/>
        <v>0</v>
      </c>
      <c r="U54" s="416">
        <f t="shared" si="1"/>
        <v>0</v>
      </c>
      <c r="V54" s="416">
        <f t="shared" si="2"/>
        <v>0</v>
      </c>
      <c r="W54" s="417">
        <f t="shared" si="3"/>
        <v>0.10526315789473689</v>
      </c>
      <c r="X54" s="418">
        <f t="shared" si="4"/>
        <v>0.49999999999999994</v>
      </c>
      <c r="Y54" s="419">
        <f t="shared" si="5"/>
        <v>0.27272727272727382</v>
      </c>
      <c r="Z54" s="419">
        <f t="shared" si="7"/>
        <v>2.4599174207624527E-2</v>
      </c>
      <c r="AB54" s="429">
        <f t="shared" si="8"/>
        <v>0</v>
      </c>
      <c r="AC54" s="430">
        <f t="shared" si="8"/>
        <v>0</v>
      </c>
      <c r="AD54" s="430">
        <f t="shared" ref="AB54:AH90" si="9">IF(V54&lt;0,0,V54)</f>
        <v>0</v>
      </c>
      <c r="AE54" s="432">
        <f t="shared" si="9"/>
        <v>0.10526315789473689</v>
      </c>
      <c r="AF54" s="433">
        <f t="shared" si="9"/>
        <v>0.49999999999999994</v>
      </c>
      <c r="AG54" s="434">
        <f t="shared" si="9"/>
        <v>0.27272727272727382</v>
      </c>
      <c r="AH54" s="434">
        <f t="shared" si="9"/>
        <v>2.4599174207624527E-2</v>
      </c>
    </row>
    <row r="55" spans="1:34" ht="33" customHeight="1" x14ac:dyDescent="0.35">
      <c r="A55" s="413" t="s">
        <v>9</v>
      </c>
      <c r="B55" s="260" t="s">
        <v>164</v>
      </c>
      <c r="C55" s="259" t="s">
        <v>165</v>
      </c>
      <c r="D55" s="260" t="s">
        <v>920</v>
      </c>
      <c r="E55" s="260" t="s">
        <v>166</v>
      </c>
      <c r="F55" s="414"/>
      <c r="G55" s="429">
        <v>1</v>
      </c>
      <c r="H55" s="430">
        <v>0</v>
      </c>
      <c r="I55" s="431">
        <v>0</v>
      </c>
      <c r="J55" s="432">
        <v>0.18181818181818174</v>
      </c>
      <c r="K55" s="433">
        <v>0.35</v>
      </c>
      <c r="L55" s="434">
        <v>0.34545454545454646</v>
      </c>
      <c r="M55" s="435">
        <v>89.86443417488104</v>
      </c>
      <c r="N55" s="420">
        <v>-89.86443417488104</v>
      </c>
      <c r="T55" s="415">
        <f t="shared" si="0"/>
        <v>0.25</v>
      </c>
      <c r="U55" s="416">
        <f t="shared" si="1"/>
        <v>0</v>
      </c>
      <c r="V55" s="416">
        <f t="shared" si="2"/>
        <v>0</v>
      </c>
      <c r="W55" s="417">
        <f t="shared" si="3"/>
        <v>5.2631578947368286E-2</v>
      </c>
      <c r="X55" s="418">
        <f t="shared" si="4"/>
        <v>0.18749999999999994</v>
      </c>
      <c r="Y55" s="419">
        <f t="shared" si="5"/>
        <v>0.12727272727272862</v>
      </c>
      <c r="Z55" s="419">
        <f t="shared" si="7"/>
        <v>-2.7039789205135253E-3</v>
      </c>
      <c r="AB55" s="429">
        <f t="shared" si="9"/>
        <v>0.25</v>
      </c>
      <c r="AC55" s="430">
        <f t="shared" si="9"/>
        <v>0</v>
      </c>
      <c r="AD55" s="430">
        <f t="shared" si="9"/>
        <v>0</v>
      </c>
      <c r="AE55" s="432">
        <f t="shared" si="9"/>
        <v>5.2631578947368286E-2</v>
      </c>
      <c r="AF55" s="433">
        <f t="shared" si="9"/>
        <v>0.18749999999999994</v>
      </c>
      <c r="AG55" s="434">
        <f t="shared" si="9"/>
        <v>0.12727272727272862</v>
      </c>
      <c r="AH55" s="434">
        <f t="shared" si="9"/>
        <v>0</v>
      </c>
    </row>
    <row r="56" spans="1:34" ht="33" customHeight="1" x14ac:dyDescent="0.35">
      <c r="A56" s="426" t="s">
        <v>9</v>
      </c>
      <c r="B56" s="427" t="s">
        <v>167</v>
      </c>
      <c r="C56" s="428" t="s">
        <v>168</v>
      </c>
      <c r="D56" s="260" t="s">
        <v>916</v>
      </c>
      <c r="E56" s="260" t="s">
        <v>169</v>
      </c>
      <c r="F56" s="414"/>
      <c r="G56" s="429">
        <v>4</v>
      </c>
      <c r="H56" s="430">
        <v>4</v>
      </c>
      <c r="I56" s="431">
        <v>4</v>
      </c>
      <c r="J56" s="432">
        <v>1</v>
      </c>
      <c r="K56" s="433">
        <v>1</v>
      </c>
      <c r="L56" s="434">
        <v>1</v>
      </c>
      <c r="M56" s="435">
        <v>-7.1508673581733033</v>
      </c>
      <c r="N56" s="420">
        <v>7.1508673581733033</v>
      </c>
      <c r="T56" s="415">
        <f t="shared" si="0"/>
        <v>1</v>
      </c>
      <c r="U56" s="416">
        <f t="shared" si="1"/>
        <v>1</v>
      </c>
      <c r="V56" s="416">
        <f t="shared" si="2"/>
        <v>1</v>
      </c>
      <c r="W56" s="417">
        <f t="shared" si="3"/>
        <v>1</v>
      </c>
      <c r="X56" s="418">
        <f t="shared" si="4"/>
        <v>1</v>
      </c>
      <c r="Y56" s="419">
        <f t="shared" si="5"/>
        <v>1</v>
      </c>
      <c r="Z56" s="419">
        <f t="shared" si="7"/>
        <v>0.89862256502160121</v>
      </c>
      <c r="AB56" s="429">
        <f t="shared" si="9"/>
        <v>1</v>
      </c>
      <c r="AC56" s="430">
        <f t="shared" si="9"/>
        <v>1</v>
      </c>
      <c r="AD56" s="430">
        <f t="shared" si="9"/>
        <v>1</v>
      </c>
      <c r="AE56" s="432">
        <f t="shared" si="9"/>
        <v>1</v>
      </c>
      <c r="AF56" s="433">
        <f t="shared" si="9"/>
        <v>1</v>
      </c>
      <c r="AG56" s="434">
        <f t="shared" si="9"/>
        <v>1</v>
      </c>
      <c r="AH56" s="434">
        <f t="shared" si="9"/>
        <v>0.89862256502160121</v>
      </c>
    </row>
    <row r="57" spans="1:34" ht="33" customHeight="1" x14ac:dyDescent="0.35">
      <c r="A57" s="413" t="s">
        <v>9</v>
      </c>
      <c r="B57" s="260" t="s">
        <v>170</v>
      </c>
      <c r="C57" s="259" t="s">
        <v>171</v>
      </c>
      <c r="D57" s="260" t="s">
        <v>919</v>
      </c>
      <c r="E57" s="260" t="s">
        <v>172</v>
      </c>
      <c r="F57" s="414"/>
      <c r="G57" s="429">
        <v>1</v>
      </c>
      <c r="H57" s="430">
        <v>0</v>
      </c>
      <c r="I57" s="431">
        <v>0</v>
      </c>
      <c r="J57" s="432">
        <v>0.13636363636363641</v>
      </c>
      <c r="K57" s="433">
        <v>0.3</v>
      </c>
      <c r="L57" s="434">
        <v>0.23636363636363755</v>
      </c>
      <c r="M57" s="435">
        <v>87.285799589866627</v>
      </c>
      <c r="N57" s="420">
        <v>-87.285799589866627</v>
      </c>
      <c r="T57" s="415">
        <f t="shared" si="0"/>
        <v>0.25</v>
      </c>
      <c r="U57" s="416">
        <f t="shared" si="1"/>
        <v>0</v>
      </c>
      <c r="V57" s="416">
        <f t="shared" si="2"/>
        <v>0</v>
      </c>
      <c r="W57" s="417">
        <f t="shared" si="3"/>
        <v>0</v>
      </c>
      <c r="X57" s="418">
        <f t="shared" si="4"/>
        <v>0.12499999999999997</v>
      </c>
      <c r="Y57" s="419">
        <f t="shared" si="5"/>
        <v>-1.8181818181816595E-2</v>
      </c>
      <c r="Z57" s="419">
        <f t="shared" si="7"/>
        <v>2.125298211422354E-2</v>
      </c>
      <c r="AB57" s="429">
        <f t="shared" si="9"/>
        <v>0.25</v>
      </c>
      <c r="AC57" s="430">
        <f t="shared" si="9"/>
        <v>0</v>
      </c>
      <c r="AD57" s="430">
        <f t="shared" si="9"/>
        <v>0</v>
      </c>
      <c r="AE57" s="432">
        <f t="shared" si="9"/>
        <v>0</v>
      </c>
      <c r="AF57" s="433">
        <f t="shared" si="9"/>
        <v>0.12499999999999997</v>
      </c>
      <c r="AG57" s="434">
        <f t="shared" si="9"/>
        <v>0</v>
      </c>
      <c r="AH57" s="434">
        <f t="shared" si="9"/>
        <v>2.125298211422354E-2</v>
      </c>
    </row>
    <row r="58" spans="1:34" ht="33" customHeight="1" x14ac:dyDescent="0.35">
      <c r="A58" s="413" t="s">
        <v>9</v>
      </c>
      <c r="B58" s="260" t="s">
        <v>173</v>
      </c>
      <c r="C58" s="259" t="s">
        <v>174</v>
      </c>
      <c r="D58" s="260" t="s">
        <v>916</v>
      </c>
      <c r="E58" s="260" t="s">
        <v>175</v>
      </c>
      <c r="F58" s="414"/>
      <c r="G58" s="429">
        <v>0</v>
      </c>
      <c r="H58" s="430">
        <v>0</v>
      </c>
      <c r="I58" s="431">
        <v>0</v>
      </c>
      <c r="J58" s="432">
        <v>9.0909090909090939E-2</v>
      </c>
      <c r="K58" s="433">
        <v>0.4</v>
      </c>
      <c r="L58" s="434">
        <v>0.40000000000000091</v>
      </c>
      <c r="M58" s="435">
        <v>46.437860198869771</v>
      </c>
      <c r="N58" s="420">
        <v>-46.437860198869771</v>
      </c>
      <c r="T58" s="415">
        <f t="shared" si="0"/>
        <v>0</v>
      </c>
      <c r="U58" s="416">
        <f t="shared" si="1"/>
        <v>0</v>
      </c>
      <c r="V58" s="416">
        <f t="shared" si="2"/>
        <v>0</v>
      </c>
      <c r="W58" s="417">
        <f t="shared" si="3"/>
        <v>-5.2631578947368446E-2</v>
      </c>
      <c r="X58" s="418">
        <f t="shared" si="4"/>
        <v>0.25</v>
      </c>
      <c r="Y58" s="419">
        <f t="shared" si="5"/>
        <v>0.2000000000000012</v>
      </c>
      <c r="Z58" s="419">
        <f t="shared" si="7"/>
        <v>0.40075324090484366</v>
      </c>
      <c r="AB58" s="429">
        <f t="shared" si="9"/>
        <v>0</v>
      </c>
      <c r="AC58" s="430">
        <f t="shared" si="9"/>
        <v>0</v>
      </c>
      <c r="AD58" s="430">
        <f t="shared" si="9"/>
        <v>0</v>
      </c>
      <c r="AE58" s="432">
        <f t="shared" si="9"/>
        <v>0</v>
      </c>
      <c r="AF58" s="433">
        <f t="shared" si="9"/>
        <v>0.25</v>
      </c>
      <c r="AG58" s="434">
        <f t="shared" si="9"/>
        <v>0.2000000000000012</v>
      </c>
      <c r="AH58" s="434">
        <f t="shared" si="9"/>
        <v>0.40075324090484366</v>
      </c>
    </row>
    <row r="59" spans="1:34" ht="33" customHeight="1" x14ac:dyDescent="0.35">
      <c r="A59" s="413" t="s">
        <v>9</v>
      </c>
      <c r="B59" s="260" t="s">
        <v>176</v>
      </c>
      <c r="C59" s="259" t="s">
        <v>177</v>
      </c>
      <c r="D59" s="260" t="s">
        <v>916</v>
      </c>
      <c r="E59" s="260" t="s">
        <v>178</v>
      </c>
      <c r="F59" s="414"/>
      <c r="G59" s="429">
        <v>1</v>
      </c>
      <c r="H59" s="430">
        <v>1</v>
      </c>
      <c r="I59" s="431">
        <v>0</v>
      </c>
      <c r="J59" s="432">
        <v>0.13636363636363641</v>
      </c>
      <c r="K59" s="433">
        <v>0.2</v>
      </c>
      <c r="L59" s="434">
        <v>0.12727272727272848</v>
      </c>
      <c r="M59" s="435">
        <v>79.280744541778972</v>
      </c>
      <c r="N59" s="420">
        <v>-79.280744541778972</v>
      </c>
      <c r="T59" s="415">
        <f t="shared" si="0"/>
        <v>0.25</v>
      </c>
      <c r="U59" s="416">
        <f t="shared" si="1"/>
        <v>0.25</v>
      </c>
      <c r="V59" s="416">
        <f t="shared" si="2"/>
        <v>0</v>
      </c>
      <c r="W59" s="417">
        <f t="shared" si="3"/>
        <v>0</v>
      </c>
      <c r="X59" s="418">
        <f t="shared" si="4"/>
        <v>0</v>
      </c>
      <c r="Y59" s="419">
        <f t="shared" si="5"/>
        <v>-0.16363636363636203</v>
      </c>
      <c r="Z59" s="419">
        <f t="shared" si="7"/>
        <v>9.5624431633461765E-2</v>
      </c>
      <c r="AB59" s="429">
        <f t="shared" si="9"/>
        <v>0.25</v>
      </c>
      <c r="AC59" s="430">
        <f t="shared" si="9"/>
        <v>0.25</v>
      </c>
      <c r="AD59" s="430">
        <f t="shared" si="9"/>
        <v>0</v>
      </c>
      <c r="AE59" s="432">
        <f t="shared" si="9"/>
        <v>0</v>
      </c>
      <c r="AF59" s="433">
        <f t="shared" si="9"/>
        <v>0</v>
      </c>
      <c r="AG59" s="434">
        <f t="shared" si="9"/>
        <v>0</v>
      </c>
      <c r="AH59" s="434">
        <f t="shared" si="9"/>
        <v>9.5624431633461765E-2</v>
      </c>
    </row>
    <row r="60" spans="1:34" ht="33" customHeight="1" x14ac:dyDescent="0.35">
      <c r="A60" s="413" t="s">
        <v>9</v>
      </c>
      <c r="B60" s="260" t="s">
        <v>179</v>
      </c>
      <c r="C60" s="259" t="s">
        <v>180</v>
      </c>
      <c r="D60" s="260" t="s">
        <v>916</v>
      </c>
      <c r="E60" s="260" t="s">
        <v>181</v>
      </c>
      <c r="F60" s="414"/>
      <c r="G60" s="429">
        <v>0</v>
      </c>
      <c r="H60" s="430">
        <v>0</v>
      </c>
      <c r="I60" s="431">
        <v>0</v>
      </c>
      <c r="J60" s="432">
        <v>0.18181818181818174</v>
      </c>
      <c r="K60" s="433">
        <v>0.2</v>
      </c>
      <c r="L60" s="434">
        <v>0.12727272727272848</v>
      </c>
      <c r="M60" s="435">
        <v>99.889614728861289</v>
      </c>
      <c r="N60" s="420">
        <v>-99.889614728861289</v>
      </c>
      <c r="T60" s="415">
        <f t="shared" si="0"/>
        <v>0</v>
      </c>
      <c r="U60" s="416">
        <f t="shared" si="1"/>
        <v>0</v>
      </c>
      <c r="V60" s="416">
        <f t="shared" si="2"/>
        <v>0</v>
      </c>
      <c r="W60" s="417">
        <f t="shared" si="3"/>
        <v>5.2631578947368286E-2</v>
      </c>
      <c r="X60" s="418">
        <f t="shared" si="4"/>
        <v>0</v>
      </c>
      <c r="Y60" s="419">
        <f t="shared" si="5"/>
        <v>-0.16363636363636203</v>
      </c>
      <c r="Z60" s="419">
        <f t="shared" si="7"/>
        <v>-9.5843526995164893E-2</v>
      </c>
      <c r="AB60" s="429">
        <f t="shared" si="9"/>
        <v>0</v>
      </c>
      <c r="AC60" s="430">
        <f t="shared" si="9"/>
        <v>0</v>
      </c>
      <c r="AD60" s="430">
        <f t="shared" si="9"/>
        <v>0</v>
      </c>
      <c r="AE60" s="432">
        <f t="shared" si="9"/>
        <v>5.2631578947368286E-2</v>
      </c>
      <c r="AF60" s="433">
        <f t="shared" si="9"/>
        <v>0</v>
      </c>
      <c r="AG60" s="434">
        <f t="shared" si="9"/>
        <v>0</v>
      </c>
      <c r="AH60" s="434">
        <f t="shared" si="9"/>
        <v>0</v>
      </c>
    </row>
    <row r="61" spans="1:34" ht="33" customHeight="1" x14ac:dyDescent="0.35">
      <c r="A61" s="413" t="s">
        <v>9</v>
      </c>
      <c r="B61" s="260" t="s">
        <v>182</v>
      </c>
      <c r="C61" s="259" t="s">
        <v>183</v>
      </c>
      <c r="D61" s="260" t="s">
        <v>916</v>
      </c>
      <c r="E61" s="260" t="s">
        <v>184</v>
      </c>
      <c r="F61" s="414"/>
      <c r="G61" s="429">
        <v>2</v>
      </c>
      <c r="H61" s="430">
        <v>0</v>
      </c>
      <c r="I61" s="431">
        <v>1</v>
      </c>
      <c r="J61" s="432">
        <v>0.27272727272727265</v>
      </c>
      <c r="K61" s="433">
        <v>0.5</v>
      </c>
      <c r="L61" s="434">
        <v>0.40000000000000091</v>
      </c>
      <c r="M61" s="435">
        <v>71.551227086129032</v>
      </c>
      <c r="N61" s="420">
        <v>-71.551227086129032</v>
      </c>
      <c r="T61" s="415">
        <f t="shared" si="0"/>
        <v>0.5</v>
      </c>
      <c r="U61" s="416">
        <f t="shared" si="1"/>
        <v>0</v>
      </c>
      <c r="V61" s="416">
        <f t="shared" si="2"/>
        <v>0.25</v>
      </c>
      <c r="W61" s="417">
        <f t="shared" si="3"/>
        <v>0.15789473684210514</v>
      </c>
      <c r="X61" s="418">
        <f t="shared" si="4"/>
        <v>0.37499999999999994</v>
      </c>
      <c r="Y61" s="419">
        <f t="shared" si="5"/>
        <v>0.2000000000000012</v>
      </c>
      <c r="Z61" s="419">
        <f t="shared" si="7"/>
        <v>0.16743598243575994</v>
      </c>
      <c r="AB61" s="429">
        <f t="shared" si="9"/>
        <v>0.5</v>
      </c>
      <c r="AC61" s="430">
        <f t="shared" si="9"/>
        <v>0</v>
      </c>
      <c r="AD61" s="430">
        <f t="shared" si="9"/>
        <v>0.25</v>
      </c>
      <c r="AE61" s="432">
        <f t="shared" si="9"/>
        <v>0.15789473684210514</v>
      </c>
      <c r="AF61" s="433">
        <f t="shared" si="9"/>
        <v>0.37499999999999994</v>
      </c>
      <c r="AG61" s="434">
        <f t="shared" si="9"/>
        <v>0.2000000000000012</v>
      </c>
      <c r="AH61" s="434">
        <f t="shared" si="9"/>
        <v>0.16743598243575994</v>
      </c>
    </row>
    <row r="62" spans="1:34" ht="33" customHeight="1" x14ac:dyDescent="0.35">
      <c r="A62" s="413" t="s">
        <v>9</v>
      </c>
      <c r="B62" s="260" t="s">
        <v>185</v>
      </c>
      <c r="C62" s="259" t="s">
        <v>186</v>
      </c>
      <c r="D62" s="260" t="s">
        <v>916</v>
      </c>
      <c r="E62" s="260" t="s">
        <v>187</v>
      </c>
      <c r="F62" s="414"/>
      <c r="G62" s="429">
        <v>1</v>
      </c>
      <c r="H62" s="430">
        <v>1</v>
      </c>
      <c r="I62" s="431">
        <v>0</v>
      </c>
      <c r="J62" s="432">
        <v>0.18181818181818174</v>
      </c>
      <c r="K62" s="433">
        <v>0.3</v>
      </c>
      <c r="L62" s="434">
        <v>0.29090909090909206</v>
      </c>
      <c r="M62" s="435">
        <v>95.570481879530206</v>
      </c>
      <c r="N62" s="420">
        <v>-95.570481879530206</v>
      </c>
      <c r="T62" s="415">
        <f t="shared" si="0"/>
        <v>0.25</v>
      </c>
      <c r="U62" s="416">
        <f t="shared" si="1"/>
        <v>0.25</v>
      </c>
      <c r="V62" s="416">
        <f t="shared" si="2"/>
        <v>0</v>
      </c>
      <c r="W62" s="417">
        <f t="shared" si="3"/>
        <v>5.2631578947368286E-2</v>
      </c>
      <c r="X62" s="418">
        <f t="shared" si="4"/>
        <v>0.12499999999999997</v>
      </c>
      <c r="Y62" s="419">
        <f t="shared" si="5"/>
        <v>5.4545454545456083E-2</v>
      </c>
      <c r="Z62" s="419">
        <f t="shared" si="7"/>
        <v>-5.5716361255355618E-2</v>
      </c>
      <c r="AB62" s="429">
        <f t="shared" si="9"/>
        <v>0.25</v>
      </c>
      <c r="AC62" s="430">
        <f t="shared" si="9"/>
        <v>0.25</v>
      </c>
      <c r="AD62" s="430">
        <f t="shared" si="9"/>
        <v>0</v>
      </c>
      <c r="AE62" s="432">
        <f t="shared" si="9"/>
        <v>5.2631578947368286E-2</v>
      </c>
      <c r="AF62" s="433">
        <f t="shared" si="9"/>
        <v>0.12499999999999997</v>
      </c>
      <c r="AG62" s="434">
        <f t="shared" si="9"/>
        <v>5.4545454545456083E-2</v>
      </c>
      <c r="AH62" s="434">
        <f t="shared" si="9"/>
        <v>0</v>
      </c>
    </row>
    <row r="63" spans="1:34" ht="33" customHeight="1" x14ac:dyDescent="0.35">
      <c r="A63" s="413" t="s">
        <v>9</v>
      </c>
      <c r="B63" s="260" t="s">
        <v>188</v>
      </c>
      <c r="C63" s="259" t="s">
        <v>189</v>
      </c>
      <c r="D63" s="260" t="s">
        <v>916</v>
      </c>
      <c r="E63" s="260" t="s">
        <v>190</v>
      </c>
      <c r="F63" s="414"/>
      <c r="G63" s="429">
        <v>1</v>
      </c>
      <c r="H63" s="430">
        <v>0</v>
      </c>
      <c r="I63" s="431">
        <v>0</v>
      </c>
      <c r="J63" s="432">
        <v>0.22727272727272735</v>
      </c>
      <c r="K63" s="433">
        <v>0.25</v>
      </c>
      <c r="L63" s="434">
        <v>0.23636363636363755</v>
      </c>
      <c r="M63" s="435">
        <v>109.2853116524177</v>
      </c>
      <c r="N63" s="420">
        <v>-109.2853116524177</v>
      </c>
      <c r="T63" s="415">
        <f t="shared" si="0"/>
        <v>0.25</v>
      </c>
      <c r="U63" s="416">
        <f t="shared" si="1"/>
        <v>0</v>
      </c>
      <c r="V63" s="416">
        <f t="shared" si="2"/>
        <v>0</v>
      </c>
      <c r="W63" s="417">
        <f t="shared" si="3"/>
        <v>0.10526315789473689</v>
      </c>
      <c r="X63" s="418">
        <f t="shared" si="4"/>
        <v>6.2499999999999986E-2</v>
      </c>
      <c r="Y63" s="419">
        <f t="shared" si="5"/>
        <v>-1.8181818181816595E-2</v>
      </c>
      <c r="Z63" s="419">
        <f t="shared" si="7"/>
        <v>-0.18313481921623073</v>
      </c>
      <c r="AB63" s="429">
        <f t="shared" si="9"/>
        <v>0.25</v>
      </c>
      <c r="AC63" s="430">
        <f t="shared" si="9"/>
        <v>0</v>
      </c>
      <c r="AD63" s="430">
        <f t="shared" si="9"/>
        <v>0</v>
      </c>
      <c r="AE63" s="432">
        <f t="shared" si="9"/>
        <v>0.10526315789473689</v>
      </c>
      <c r="AF63" s="433">
        <f t="shared" si="9"/>
        <v>6.2499999999999986E-2</v>
      </c>
      <c r="AG63" s="434">
        <f t="shared" si="9"/>
        <v>0</v>
      </c>
      <c r="AH63" s="434">
        <f t="shared" si="9"/>
        <v>0</v>
      </c>
    </row>
    <row r="64" spans="1:34" ht="33" customHeight="1" x14ac:dyDescent="0.35">
      <c r="A64" s="413" t="s">
        <v>9</v>
      </c>
      <c r="B64" s="260" t="s">
        <v>191</v>
      </c>
      <c r="C64" s="259" t="s">
        <v>192</v>
      </c>
      <c r="D64" s="260" t="s">
        <v>920</v>
      </c>
      <c r="E64" s="260" t="s">
        <v>193</v>
      </c>
      <c r="F64" s="414"/>
      <c r="G64" s="429">
        <v>0</v>
      </c>
      <c r="H64" s="430">
        <v>0</v>
      </c>
      <c r="I64" s="431">
        <v>0</v>
      </c>
      <c r="J64" s="432">
        <v>0.27272727272727265</v>
      </c>
      <c r="K64" s="433">
        <v>0.44999999999999996</v>
      </c>
      <c r="L64" s="434">
        <v>0.50909090909090982</v>
      </c>
      <c r="M64" s="435">
        <v>90.681437284021712</v>
      </c>
      <c r="N64" s="420">
        <v>-90.681437284021712</v>
      </c>
      <c r="T64" s="415">
        <f t="shared" si="0"/>
        <v>0</v>
      </c>
      <c r="U64" s="416">
        <f t="shared" si="1"/>
        <v>0</v>
      </c>
      <c r="V64" s="416">
        <f t="shared" si="2"/>
        <v>0</v>
      </c>
      <c r="W64" s="417">
        <f t="shared" si="3"/>
        <v>0.15789473684210514</v>
      </c>
      <c r="X64" s="418">
        <f t="shared" si="4"/>
        <v>0.31249999999999989</v>
      </c>
      <c r="Y64" s="419">
        <f t="shared" si="5"/>
        <v>0.3454545454545464</v>
      </c>
      <c r="Z64" s="419">
        <f t="shared" si="7"/>
        <v>-1.0294395866244786E-2</v>
      </c>
      <c r="AB64" s="429">
        <f t="shared" si="9"/>
        <v>0</v>
      </c>
      <c r="AC64" s="430">
        <f t="shared" si="9"/>
        <v>0</v>
      </c>
      <c r="AD64" s="430">
        <f t="shared" si="9"/>
        <v>0</v>
      </c>
      <c r="AE64" s="432">
        <f t="shared" si="9"/>
        <v>0.15789473684210514</v>
      </c>
      <c r="AF64" s="433">
        <f t="shared" si="9"/>
        <v>0.31249999999999989</v>
      </c>
      <c r="AG64" s="434">
        <f t="shared" si="9"/>
        <v>0.3454545454545464</v>
      </c>
      <c r="AH64" s="434">
        <f t="shared" si="9"/>
        <v>0</v>
      </c>
    </row>
    <row r="65" spans="1:34" ht="33" customHeight="1" x14ac:dyDescent="0.35">
      <c r="A65" s="413" t="s">
        <v>9</v>
      </c>
      <c r="B65" s="260" t="s">
        <v>194</v>
      </c>
      <c r="C65" s="259" t="s">
        <v>195</v>
      </c>
      <c r="D65" s="260" t="s">
        <v>920</v>
      </c>
      <c r="E65" s="260" t="s">
        <v>196</v>
      </c>
      <c r="F65" s="414"/>
      <c r="G65" s="429">
        <v>0</v>
      </c>
      <c r="H65" s="430">
        <v>0</v>
      </c>
      <c r="I65" s="431">
        <v>0</v>
      </c>
      <c r="J65" s="432">
        <v>0.13636363636363641</v>
      </c>
      <c r="K65" s="433">
        <v>0.4</v>
      </c>
      <c r="L65" s="434">
        <v>0.34545454545454646</v>
      </c>
      <c r="M65" s="435">
        <v>109.10234518210117</v>
      </c>
      <c r="N65" s="420">
        <v>-109.10234518210117</v>
      </c>
      <c r="T65" s="415">
        <f t="shared" si="0"/>
        <v>0</v>
      </c>
      <c r="U65" s="416">
        <f t="shared" si="1"/>
        <v>0</v>
      </c>
      <c r="V65" s="416">
        <f t="shared" si="2"/>
        <v>0</v>
      </c>
      <c r="W65" s="417">
        <f t="shared" si="3"/>
        <v>0</v>
      </c>
      <c r="X65" s="418">
        <f t="shared" si="4"/>
        <v>0.25</v>
      </c>
      <c r="Y65" s="419">
        <f t="shared" si="5"/>
        <v>0.12727272727272862</v>
      </c>
      <c r="Z65" s="419">
        <f t="shared" si="7"/>
        <v>-0.18143495812481827</v>
      </c>
      <c r="AB65" s="429">
        <f t="shared" si="9"/>
        <v>0</v>
      </c>
      <c r="AC65" s="430">
        <f t="shared" si="9"/>
        <v>0</v>
      </c>
      <c r="AD65" s="430">
        <f t="shared" si="9"/>
        <v>0</v>
      </c>
      <c r="AE65" s="432">
        <f t="shared" si="9"/>
        <v>0</v>
      </c>
      <c r="AF65" s="433">
        <f t="shared" si="9"/>
        <v>0.25</v>
      </c>
      <c r="AG65" s="434">
        <f t="shared" si="9"/>
        <v>0.12727272727272862</v>
      </c>
      <c r="AH65" s="434">
        <f t="shared" si="9"/>
        <v>0</v>
      </c>
    </row>
    <row r="66" spans="1:34" ht="33" customHeight="1" x14ac:dyDescent="0.35">
      <c r="A66" s="413" t="s">
        <v>9</v>
      </c>
      <c r="B66" s="260" t="s">
        <v>197</v>
      </c>
      <c r="C66" s="259" t="s">
        <v>198</v>
      </c>
      <c r="D66" s="260" t="s">
        <v>919</v>
      </c>
      <c r="E66" s="260" t="s">
        <v>199</v>
      </c>
      <c r="F66" s="414"/>
      <c r="G66" s="429">
        <v>0</v>
      </c>
      <c r="H66" s="430">
        <v>0</v>
      </c>
      <c r="I66" s="431">
        <v>0</v>
      </c>
      <c r="J66" s="432">
        <v>0.22727272727272735</v>
      </c>
      <c r="K66" s="433">
        <v>0.2</v>
      </c>
      <c r="L66" s="434">
        <v>0.23636363636363755</v>
      </c>
      <c r="M66" s="435">
        <v>84.241710553168389</v>
      </c>
      <c r="N66" s="420">
        <v>-84.241710553168389</v>
      </c>
      <c r="T66" s="415">
        <f t="shared" si="0"/>
        <v>0</v>
      </c>
      <c r="U66" s="416">
        <f t="shared" si="1"/>
        <v>0</v>
      </c>
      <c r="V66" s="416">
        <f t="shared" si="2"/>
        <v>0</v>
      </c>
      <c r="W66" s="417">
        <f t="shared" si="3"/>
        <v>0.10526315789473689</v>
      </c>
      <c r="X66" s="418">
        <f t="shared" si="4"/>
        <v>0</v>
      </c>
      <c r="Y66" s="419">
        <f t="shared" si="5"/>
        <v>-1.8181818181816595E-2</v>
      </c>
      <c r="Z66" s="419">
        <f t="shared" si="7"/>
        <v>4.9534275967281195E-2</v>
      </c>
      <c r="AB66" s="429">
        <f t="shared" si="9"/>
        <v>0</v>
      </c>
      <c r="AC66" s="430">
        <f t="shared" si="9"/>
        <v>0</v>
      </c>
      <c r="AD66" s="430">
        <f t="shared" si="9"/>
        <v>0</v>
      </c>
      <c r="AE66" s="432">
        <f t="shared" si="9"/>
        <v>0.10526315789473689</v>
      </c>
      <c r="AF66" s="433">
        <f t="shared" si="9"/>
        <v>0</v>
      </c>
      <c r="AG66" s="434">
        <f t="shared" si="9"/>
        <v>0</v>
      </c>
      <c r="AH66" s="434">
        <f t="shared" si="9"/>
        <v>4.9534275967281195E-2</v>
      </c>
    </row>
    <row r="67" spans="1:34" ht="33" customHeight="1" x14ac:dyDescent="0.35">
      <c r="A67" s="413" t="s">
        <v>9</v>
      </c>
      <c r="B67" s="260" t="s">
        <v>200</v>
      </c>
      <c r="C67" s="259" t="s">
        <v>201</v>
      </c>
      <c r="D67" s="260" t="s">
        <v>919</v>
      </c>
      <c r="E67" s="260" t="s">
        <v>202</v>
      </c>
      <c r="F67" s="414"/>
      <c r="G67" s="429">
        <v>1</v>
      </c>
      <c r="H67" s="430">
        <v>0</v>
      </c>
      <c r="I67" s="431">
        <v>0</v>
      </c>
      <c r="J67" s="432">
        <v>0.13636363636363641</v>
      </c>
      <c r="K67" s="433">
        <v>0.2</v>
      </c>
      <c r="L67" s="434">
        <v>0.18181818181818302</v>
      </c>
      <c r="M67" s="435">
        <v>86.706399051846091</v>
      </c>
      <c r="N67" s="420">
        <v>-86.706399051846091</v>
      </c>
      <c r="T67" s="415">
        <f t="shared" si="0"/>
        <v>0.25</v>
      </c>
      <c r="U67" s="416">
        <f t="shared" si="1"/>
        <v>0</v>
      </c>
      <c r="V67" s="416">
        <f t="shared" si="2"/>
        <v>0</v>
      </c>
      <c r="W67" s="417">
        <f t="shared" si="3"/>
        <v>0</v>
      </c>
      <c r="X67" s="418">
        <f t="shared" si="4"/>
        <v>0</v>
      </c>
      <c r="Y67" s="419">
        <f t="shared" si="5"/>
        <v>-9.0909090909089316E-2</v>
      </c>
      <c r="Z67" s="419">
        <f t="shared" si="7"/>
        <v>2.6635937959743661E-2</v>
      </c>
      <c r="AB67" s="429">
        <f t="shared" si="9"/>
        <v>0.25</v>
      </c>
      <c r="AC67" s="430">
        <f t="shared" si="9"/>
        <v>0</v>
      </c>
      <c r="AD67" s="430">
        <f t="shared" si="9"/>
        <v>0</v>
      </c>
      <c r="AE67" s="432">
        <f t="shared" si="9"/>
        <v>0</v>
      </c>
      <c r="AF67" s="433">
        <f t="shared" si="9"/>
        <v>0</v>
      </c>
      <c r="AG67" s="434">
        <f t="shared" si="9"/>
        <v>0</v>
      </c>
      <c r="AH67" s="434">
        <f t="shared" si="9"/>
        <v>2.6635937959743661E-2</v>
      </c>
    </row>
    <row r="68" spans="1:34" ht="33" customHeight="1" x14ac:dyDescent="0.35">
      <c r="A68" s="413" t="s">
        <v>9</v>
      </c>
      <c r="B68" s="260" t="s">
        <v>203</v>
      </c>
      <c r="C68" s="259" t="s">
        <v>204</v>
      </c>
      <c r="D68" s="260" t="s">
        <v>916</v>
      </c>
      <c r="E68" s="260" t="s">
        <v>205</v>
      </c>
      <c r="F68" s="414"/>
      <c r="G68" s="429">
        <v>2</v>
      </c>
      <c r="H68" s="430">
        <v>0</v>
      </c>
      <c r="I68" s="431">
        <v>0</v>
      </c>
      <c r="J68" s="432">
        <v>4.545454545454547E-2</v>
      </c>
      <c r="K68" s="433">
        <v>0.05</v>
      </c>
      <c r="L68" s="434">
        <v>7.2727272727274084E-2</v>
      </c>
      <c r="M68" s="435">
        <v>87.931601524734049</v>
      </c>
      <c r="N68" s="420">
        <v>-87.931601524734049</v>
      </c>
      <c r="T68" s="415">
        <f t="shared" ref="T68:T131" si="10">(G68-$R$3)/($Q$3-$R$3)</f>
        <v>0.5</v>
      </c>
      <c r="U68" s="416">
        <f t="shared" ref="U68:U131" si="11">(H68-$R$4)/($Q$4-$R$4)</f>
        <v>0</v>
      </c>
      <c r="V68" s="416">
        <f t="shared" ref="V68:V131" si="12">(I68-$R$5)/($Q$5-$R$5)</f>
        <v>0</v>
      </c>
      <c r="W68" s="417">
        <f t="shared" ref="W68:W131" si="13">(J68-$R$7)/($Q$7-$R$7)</f>
        <v>-0.10526315789473689</v>
      </c>
      <c r="X68" s="418">
        <f t="shared" ref="X68:X131" si="14">(K68-$R$8)/($Q$8-$R$8)</f>
        <v>-0.18750000000000003</v>
      </c>
      <c r="Y68" s="419">
        <f t="shared" ref="Y68:Y131" si="15">(L68-$R$9)/($Q$9-$R$9)</f>
        <v>-0.23636363636363455</v>
      </c>
      <c r="Z68" s="419">
        <f t="shared" si="7"/>
        <v>1.525312006331952E-2</v>
      </c>
      <c r="AB68" s="429">
        <f t="shared" si="9"/>
        <v>0.5</v>
      </c>
      <c r="AC68" s="430">
        <f t="shared" si="9"/>
        <v>0</v>
      </c>
      <c r="AD68" s="430">
        <f t="shared" si="9"/>
        <v>0</v>
      </c>
      <c r="AE68" s="432">
        <f t="shared" si="9"/>
        <v>0</v>
      </c>
      <c r="AF68" s="433">
        <f t="shared" si="9"/>
        <v>0</v>
      </c>
      <c r="AG68" s="434">
        <f t="shared" si="9"/>
        <v>0</v>
      </c>
      <c r="AH68" s="434">
        <f t="shared" si="9"/>
        <v>1.525312006331952E-2</v>
      </c>
    </row>
    <row r="69" spans="1:34" ht="33" customHeight="1" x14ac:dyDescent="0.35">
      <c r="A69" s="413" t="s">
        <v>9</v>
      </c>
      <c r="B69" s="260" t="s">
        <v>206</v>
      </c>
      <c r="C69" s="259" t="s">
        <v>207</v>
      </c>
      <c r="D69" s="260" t="s">
        <v>916</v>
      </c>
      <c r="E69" s="260" t="s">
        <v>208</v>
      </c>
      <c r="F69" s="414"/>
      <c r="G69" s="429">
        <v>0</v>
      </c>
      <c r="H69" s="430">
        <v>0</v>
      </c>
      <c r="I69" s="431">
        <v>0</v>
      </c>
      <c r="J69" s="432">
        <v>9.0909090909090939E-2</v>
      </c>
      <c r="K69" s="433">
        <v>0.1</v>
      </c>
      <c r="L69" s="434">
        <v>0.12727272727272848</v>
      </c>
      <c r="M69" s="435">
        <v>61.78393618052155</v>
      </c>
      <c r="N69" s="420">
        <v>-61.78393618052155</v>
      </c>
      <c r="T69" s="415">
        <f t="shared" si="10"/>
        <v>0</v>
      </c>
      <c r="U69" s="416">
        <f t="shared" si="11"/>
        <v>0</v>
      </c>
      <c r="V69" s="416">
        <f t="shared" si="12"/>
        <v>0</v>
      </c>
      <c r="W69" s="417">
        <f t="shared" si="13"/>
        <v>-5.2631578947368446E-2</v>
      </c>
      <c r="X69" s="418">
        <f t="shared" si="14"/>
        <v>-0.125</v>
      </c>
      <c r="Y69" s="419">
        <f t="shared" si="15"/>
        <v>-0.16363636363636203</v>
      </c>
      <c r="Z69" s="419">
        <f t="shared" ref="Z69:Z132" si="16">(N69-$R$11)/($Q$11-$R$11)</f>
        <v>0.25817959108834931</v>
      </c>
      <c r="AB69" s="429">
        <f t="shared" si="9"/>
        <v>0</v>
      </c>
      <c r="AC69" s="430">
        <f t="shared" si="9"/>
        <v>0</v>
      </c>
      <c r="AD69" s="430">
        <f t="shared" si="9"/>
        <v>0</v>
      </c>
      <c r="AE69" s="432">
        <f t="shared" si="9"/>
        <v>0</v>
      </c>
      <c r="AF69" s="433">
        <f t="shared" si="9"/>
        <v>0</v>
      </c>
      <c r="AG69" s="434">
        <f t="shared" si="9"/>
        <v>0</v>
      </c>
      <c r="AH69" s="434">
        <f t="shared" si="9"/>
        <v>0.25817959108834931</v>
      </c>
    </row>
    <row r="70" spans="1:34" ht="33" customHeight="1" x14ac:dyDescent="0.35">
      <c r="A70" s="413" t="s">
        <v>9</v>
      </c>
      <c r="B70" s="260" t="s">
        <v>209</v>
      </c>
      <c r="C70" s="259" t="s">
        <v>210</v>
      </c>
      <c r="D70" s="260" t="s">
        <v>916</v>
      </c>
      <c r="E70" s="260" t="s">
        <v>211</v>
      </c>
      <c r="F70" s="414"/>
      <c r="G70" s="429">
        <v>0</v>
      </c>
      <c r="H70" s="430">
        <v>0</v>
      </c>
      <c r="I70" s="431">
        <v>0</v>
      </c>
      <c r="J70" s="432">
        <v>0.13636363636363641</v>
      </c>
      <c r="K70" s="433">
        <v>0.3</v>
      </c>
      <c r="L70" s="434">
        <v>0.34545454545454646</v>
      </c>
      <c r="M70" s="435">
        <v>93.555413033409607</v>
      </c>
      <c r="N70" s="420">
        <v>-93.555413033409607</v>
      </c>
      <c r="T70" s="415">
        <f t="shared" si="10"/>
        <v>0</v>
      </c>
      <c r="U70" s="416">
        <f t="shared" si="11"/>
        <v>0</v>
      </c>
      <c r="V70" s="416">
        <f t="shared" si="12"/>
        <v>0</v>
      </c>
      <c r="W70" s="417">
        <f t="shared" si="13"/>
        <v>0</v>
      </c>
      <c r="X70" s="418">
        <f t="shared" si="14"/>
        <v>0.12499999999999997</v>
      </c>
      <c r="Y70" s="419">
        <f t="shared" si="15"/>
        <v>0.12727272727272862</v>
      </c>
      <c r="Z70" s="419">
        <f t="shared" si="16"/>
        <v>-3.6995241904296441E-2</v>
      </c>
      <c r="AB70" s="429">
        <f t="shared" si="9"/>
        <v>0</v>
      </c>
      <c r="AC70" s="430">
        <f t="shared" si="9"/>
        <v>0</v>
      </c>
      <c r="AD70" s="430">
        <f t="shared" si="9"/>
        <v>0</v>
      </c>
      <c r="AE70" s="432">
        <f t="shared" si="9"/>
        <v>0</v>
      </c>
      <c r="AF70" s="433">
        <f t="shared" si="9"/>
        <v>0.12499999999999997</v>
      </c>
      <c r="AG70" s="434">
        <f t="shared" si="9"/>
        <v>0.12727272727272862</v>
      </c>
      <c r="AH70" s="434">
        <f t="shared" si="9"/>
        <v>0</v>
      </c>
    </row>
    <row r="71" spans="1:34" ht="33" customHeight="1" x14ac:dyDescent="0.35">
      <c r="A71" s="413" t="s">
        <v>9</v>
      </c>
      <c r="B71" s="260" t="s">
        <v>212</v>
      </c>
      <c r="C71" s="259" t="s">
        <v>213</v>
      </c>
      <c r="D71" s="260" t="s">
        <v>916</v>
      </c>
      <c r="E71" s="260" t="s">
        <v>214</v>
      </c>
      <c r="F71" s="414"/>
      <c r="G71" s="429">
        <v>0</v>
      </c>
      <c r="H71" s="430">
        <v>0</v>
      </c>
      <c r="I71" s="431">
        <v>0</v>
      </c>
      <c r="J71" s="432">
        <v>0.13636363636363641</v>
      </c>
      <c r="K71" s="433">
        <v>0.2</v>
      </c>
      <c r="L71" s="434">
        <v>0.18181818181818302</v>
      </c>
      <c r="M71" s="435">
        <v>89.609788041342114</v>
      </c>
      <c r="N71" s="420">
        <v>-89.609788041342114</v>
      </c>
      <c r="T71" s="415">
        <f t="shared" si="10"/>
        <v>0</v>
      </c>
      <c r="U71" s="416">
        <f t="shared" si="11"/>
        <v>0</v>
      </c>
      <c r="V71" s="416">
        <f t="shared" si="12"/>
        <v>0</v>
      </c>
      <c r="W71" s="417">
        <f t="shared" si="13"/>
        <v>0</v>
      </c>
      <c r="X71" s="418">
        <f t="shared" si="14"/>
        <v>0</v>
      </c>
      <c r="Y71" s="419">
        <f t="shared" si="15"/>
        <v>-9.0909090909089316E-2</v>
      </c>
      <c r="Z71" s="419">
        <f t="shared" si="16"/>
        <v>-3.3817356977034461E-4</v>
      </c>
      <c r="AB71" s="429">
        <f t="shared" si="9"/>
        <v>0</v>
      </c>
      <c r="AC71" s="430">
        <f t="shared" si="9"/>
        <v>0</v>
      </c>
      <c r="AD71" s="430">
        <f t="shared" si="9"/>
        <v>0</v>
      </c>
      <c r="AE71" s="432">
        <f t="shared" si="9"/>
        <v>0</v>
      </c>
      <c r="AF71" s="433">
        <f t="shared" si="9"/>
        <v>0</v>
      </c>
      <c r="AG71" s="434">
        <f t="shared" si="9"/>
        <v>0</v>
      </c>
      <c r="AH71" s="434">
        <f t="shared" si="9"/>
        <v>0</v>
      </c>
    </row>
    <row r="72" spans="1:34" ht="33" customHeight="1" x14ac:dyDescent="0.35">
      <c r="A72" s="413" t="s">
        <v>9</v>
      </c>
      <c r="B72" s="260" t="s">
        <v>215</v>
      </c>
      <c r="C72" s="259" t="s">
        <v>216</v>
      </c>
      <c r="D72" s="260" t="s">
        <v>916</v>
      </c>
      <c r="E72" s="260" t="s">
        <v>217</v>
      </c>
      <c r="F72" s="414"/>
      <c r="G72" s="429">
        <v>4</v>
      </c>
      <c r="H72" s="430">
        <v>4</v>
      </c>
      <c r="I72" s="431">
        <v>4</v>
      </c>
      <c r="J72" s="432">
        <v>0.54545454545454541</v>
      </c>
      <c r="K72" s="433">
        <v>0.8</v>
      </c>
      <c r="L72" s="434">
        <v>0.56363636363636427</v>
      </c>
      <c r="M72" s="463">
        <v>89.379184418746178</v>
      </c>
      <c r="N72" s="420">
        <v>-89.379184418746178</v>
      </c>
      <c r="T72" s="415">
        <f t="shared" si="10"/>
        <v>1</v>
      </c>
      <c r="U72" s="416">
        <f t="shared" si="11"/>
        <v>1</v>
      </c>
      <c r="V72" s="416">
        <f t="shared" si="12"/>
        <v>1</v>
      </c>
      <c r="W72" s="417">
        <f t="shared" si="13"/>
        <v>0.47368421052631576</v>
      </c>
      <c r="X72" s="418">
        <f t="shared" si="14"/>
        <v>0.75000000000000011</v>
      </c>
      <c r="Y72" s="419">
        <f t="shared" si="15"/>
        <v>0.41818181818181904</v>
      </c>
      <c r="Z72" s="419">
        <f t="shared" si="16"/>
        <v>1.8042633746132167E-3</v>
      </c>
      <c r="AB72" s="429">
        <f t="shared" si="9"/>
        <v>1</v>
      </c>
      <c r="AC72" s="430">
        <f t="shared" si="9"/>
        <v>1</v>
      </c>
      <c r="AD72" s="430">
        <f t="shared" si="9"/>
        <v>1</v>
      </c>
      <c r="AE72" s="432">
        <f t="shared" si="9"/>
        <v>0.47368421052631576</v>
      </c>
      <c r="AF72" s="433">
        <f t="shared" si="9"/>
        <v>0.75000000000000011</v>
      </c>
      <c r="AG72" s="434">
        <f t="shared" si="9"/>
        <v>0.41818181818181904</v>
      </c>
      <c r="AH72" s="434">
        <f t="shared" si="9"/>
        <v>1.8042633746132167E-3</v>
      </c>
    </row>
    <row r="73" spans="1:34" ht="33" customHeight="1" x14ac:dyDescent="0.35">
      <c r="A73" s="413" t="s">
        <v>9</v>
      </c>
      <c r="B73" s="260" t="s">
        <v>218</v>
      </c>
      <c r="C73" s="259" t="s">
        <v>219</v>
      </c>
      <c r="D73" s="260" t="s">
        <v>916</v>
      </c>
      <c r="E73" s="260" t="s">
        <v>220</v>
      </c>
      <c r="F73" s="414"/>
      <c r="G73" s="429">
        <v>0</v>
      </c>
      <c r="H73" s="430">
        <v>0</v>
      </c>
      <c r="I73" s="431">
        <v>0</v>
      </c>
      <c r="J73" s="432">
        <v>0.18181818181818174</v>
      </c>
      <c r="K73" s="433">
        <v>0.44999999999999996</v>
      </c>
      <c r="L73" s="434">
        <v>0.40000000000000091</v>
      </c>
      <c r="M73" s="435">
        <v>176.20756460185055</v>
      </c>
      <c r="N73" s="420">
        <v>-176.20756460185055</v>
      </c>
      <c r="T73" s="415">
        <f t="shared" si="10"/>
        <v>0</v>
      </c>
      <c r="U73" s="416">
        <f t="shared" si="11"/>
        <v>0</v>
      </c>
      <c r="V73" s="416">
        <f t="shared" si="12"/>
        <v>0</v>
      </c>
      <c r="W73" s="417">
        <f t="shared" si="13"/>
        <v>5.2631578947368286E-2</v>
      </c>
      <c r="X73" s="418">
        <f t="shared" si="14"/>
        <v>0.31249999999999989</v>
      </c>
      <c r="Y73" s="419">
        <f t="shared" si="15"/>
        <v>0.2000000000000012</v>
      </c>
      <c r="Z73" s="419">
        <f t="shared" si="16"/>
        <v>-0.80488006981652827</v>
      </c>
      <c r="AB73" s="429">
        <f t="shared" si="9"/>
        <v>0</v>
      </c>
      <c r="AC73" s="430">
        <f t="shared" si="9"/>
        <v>0</v>
      </c>
      <c r="AD73" s="430">
        <f t="shared" si="9"/>
        <v>0</v>
      </c>
      <c r="AE73" s="432">
        <f t="shared" si="9"/>
        <v>5.2631578947368286E-2</v>
      </c>
      <c r="AF73" s="433">
        <f t="shared" si="9"/>
        <v>0.31249999999999989</v>
      </c>
      <c r="AG73" s="434">
        <f t="shared" si="9"/>
        <v>0.2000000000000012</v>
      </c>
      <c r="AH73" s="434">
        <f t="shared" si="9"/>
        <v>0</v>
      </c>
    </row>
    <row r="74" spans="1:34" ht="33" customHeight="1" x14ac:dyDescent="0.35">
      <c r="A74" s="413" t="s">
        <v>9</v>
      </c>
      <c r="B74" s="260" t="s">
        <v>221</v>
      </c>
      <c r="C74" s="259" t="s">
        <v>222</v>
      </c>
      <c r="D74" s="260" t="s">
        <v>923</v>
      </c>
      <c r="E74" s="260" t="s">
        <v>223</v>
      </c>
      <c r="F74" s="414"/>
      <c r="G74" s="429">
        <v>1</v>
      </c>
      <c r="H74" s="430">
        <v>1</v>
      </c>
      <c r="I74" s="431">
        <v>1</v>
      </c>
      <c r="J74" s="432">
        <v>0.40909090909090906</v>
      </c>
      <c r="K74" s="433">
        <v>0.44999999999999996</v>
      </c>
      <c r="L74" s="434">
        <v>0.45454545454545536</v>
      </c>
      <c r="M74" s="435">
        <v>89.07156603947297</v>
      </c>
      <c r="N74" s="420">
        <v>-89.07156603947297</v>
      </c>
      <c r="T74" s="415">
        <f t="shared" si="10"/>
        <v>0.25</v>
      </c>
      <c r="U74" s="416">
        <f t="shared" si="11"/>
        <v>0.25</v>
      </c>
      <c r="V74" s="416">
        <f t="shared" si="12"/>
        <v>0.25</v>
      </c>
      <c r="W74" s="417">
        <f t="shared" si="13"/>
        <v>0.31578947368421045</v>
      </c>
      <c r="X74" s="418">
        <f t="shared" si="14"/>
        <v>0.31249999999999989</v>
      </c>
      <c r="Y74" s="419">
        <f t="shared" si="15"/>
        <v>0.27272727272727382</v>
      </c>
      <c r="Z74" s="419">
        <f t="shared" si="16"/>
        <v>4.6622105877023581E-3</v>
      </c>
      <c r="AB74" s="429">
        <f t="shared" si="9"/>
        <v>0.25</v>
      </c>
      <c r="AC74" s="430">
        <f t="shared" si="9"/>
        <v>0.25</v>
      </c>
      <c r="AD74" s="430">
        <f t="shared" si="9"/>
        <v>0.25</v>
      </c>
      <c r="AE74" s="432">
        <f t="shared" si="9"/>
        <v>0.31578947368421045</v>
      </c>
      <c r="AF74" s="433">
        <f t="shared" si="9"/>
        <v>0.31249999999999989</v>
      </c>
      <c r="AG74" s="434">
        <f t="shared" si="9"/>
        <v>0.27272727272727382</v>
      </c>
      <c r="AH74" s="434">
        <f t="shared" si="9"/>
        <v>4.6622105877023581E-3</v>
      </c>
    </row>
    <row r="75" spans="1:34" ht="33" customHeight="1" x14ac:dyDescent="0.35">
      <c r="A75" s="413" t="s">
        <v>9</v>
      </c>
      <c r="B75" s="260" t="s">
        <v>224</v>
      </c>
      <c r="C75" s="259" t="s">
        <v>225</v>
      </c>
      <c r="D75" s="260" t="s">
        <v>919</v>
      </c>
      <c r="E75" s="260" t="s">
        <v>226</v>
      </c>
      <c r="F75" s="414"/>
      <c r="G75" s="429">
        <v>1</v>
      </c>
      <c r="H75" s="430">
        <v>0</v>
      </c>
      <c r="I75" s="431">
        <v>0</v>
      </c>
      <c r="J75" s="432">
        <v>0.27272727272727265</v>
      </c>
      <c r="K75" s="433">
        <v>0.4</v>
      </c>
      <c r="L75" s="434">
        <v>0.40000000000000091</v>
      </c>
      <c r="M75" s="435">
        <v>91.809394750058999</v>
      </c>
      <c r="N75" s="420">
        <v>-91.809394750058999</v>
      </c>
      <c r="T75" s="415">
        <f t="shared" si="10"/>
        <v>0.25</v>
      </c>
      <c r="U75" s="416">
        <f t="shared" si="11"/>
        <v>0</v>
      </c>
      <c r="V75" s="416">
        <f t="shared" si="12"/>
        <v>0</v>
      </c>
      <c r="W75" s="417">
        <f t="shared" si="13"/>
        <v>0.15789473684210514</v>
      </c>
      <c r="X75" s="418">
        <f t="shared" si="14"/>
        <v>0.25</v>
      </c>
      <c r="Y75" s="419">
        <f t="shared" si="15"/>
        <v>0.2000000000000012</v>
      </c>
      <c r="Z75" s="419">
        <f t="shared" si="16"/>
        <v>-2.0773753127539336E-2</v>
      </c>
      <c r="AB75" s="429">
        <f t="shared" si="9"/>
        <v>0.25</v>
      </c>
      <c r="AC75" s="430">
        <f t="shared" si="9"/>
        <v>0</v>
      </c>
      <c r="AD75" s="430">
        <f t="shared" si="9"/>
        <v>0</v>
      </c>
      <c r="AE75" s="432">
        <f t="shared" si="9"/>
        <v>0.15789473684210514</v>
      </c>
      <c r="AF75" s="433">
        <f t="shared" si="9"/>
        <v>0.25</v>
      </c>
      <c r="AG75" s="434">
        <f t="shared" si="9"/>
        <v>0.2000000000000012</v>
      </c>
      <c r="AH75" s="434">
        <f t="shared" si="9"/>
        <v>0</v>
      </c>
    </row>
    <row r="76" spans="1:34" ht="33" customHeight="1" x14ac:dyDescent="0.35">
      <c r="A76" s="413" t="s">
        <v>9</v>
      </c>
      <c r="B76" s="260" t="s">
        <v>227</v>
      </c>
      <c r="C76" s="259" t="s">
        <v>228</v>
      </c>
      <c r="D76" s="260" t="s">
        <v>919</v>
      </c>
      <c r="E76" s="260" t="s">
        <v>229</v>
      </c>
      <c r="F76" s="414"/>
      <c r="G76" s="429">
        <v>0</v>
      </c>
      <c r="H76" s="430">
        <v>0</v>
      </c>
      <c r="I76" s="431">
        <v>0</v>
      </c>
      <c r="J76" s="432">
        <v>0.40909090909090906</v>
      </c>
      <c r="K76" s="433">
        <v>0.44999999999999996</v>
      </c>
      <c r="L76" s="434">
        <v>0.50909090909090982</v>
      </c>
      <c r="M76" s="435">
        <v>113.44716425138975</v>
      </c>
      <c r="N76" s="420">
        <v>-113.44716425138975</v>
      </c>
      <c r="T76" s="415">
        <f t="shared" si="10"/>
        <v>0</v>
      </c>
      <c r="U76" s="416">
        <f t="shared" si="11"/>
        <v>0</v>
      </c>
      <c r="V76" s="416">
        <f t="shared" si="12"/>
        <v>0</v>
      </c>
      <c r="W76" s="417">
        <f t="shared" si="13"/>
        <v>0.31578947368421045</v>
      </c>
      <c r="X76" s="418">
        <f t="shared" si="14"/>
        <v>0.31249999999999989</v>
      </c>
      <c r="Y76" s="419">
        <f t="shared" si="15"/>
        <v>0.3454545454545464</v>
      </c>
      <c r="Z76" s="419">
        <f t="shared" si="16"/>
        <v>-0.22180076324929549</v>
      </c>
      <c r="AB76" s="429">
        <f t="shared" si="9"/>
        <v>0</v>
      </c>
      <c r="AC76" s="430">
        <f t="shared" si="9"/>
        <v>0</v>
      </c>
      <c r="AD76" s="430">
        <f t="shared" si="9"/>
        <v>0</v>
      </c>
      <c r="AE76" s="432">
        <f t="shared" si="9"/>
        <v>0.31578947368421045</v>
      </c>
      <c r="AF76" s="433">
        <f t="shared" si="9"/>
        <v>0.31249999999999989</v>
      </c>
      <c r="AG76" s="434">
        <f t="shared" si="9"/>
        <v>0.3454545454545464</v>
      </c>
      <c r="AH76" s="434">
        <f t="shared" si="9"/>
        <v>0</v>
      </c>
    </row>
    <row r="77" spans="1:34" ht="33" customHeight="1" x14ac:dyDescent="0.35">
      <c r="A77" s="413" t="s">
        <v>9</v>
      </c>
      <c r="B77" s="260" t="s">
        <v>230</v>
      </c>
      <c r="C77" s="259" t="s">
        <v>231</v>
      </c>
      <c r="D77" s="260" t="s">
        <v>919</v>
      </c>
      <c r="E77" s="260" t="s">
        <v>232</v>
      </c>
      <c r="F77" s="414"/>
      <c r="G77" s="429">
        <v>0</v>
      </c>
      <c r="H77" s="430">
        <v>1</v>
      </c>
      <c r="I77" s="431">
        <v>0</v>
      </c>
      <c r="J77" s="432">
        <v>0.18181818181818174</v>
      </c>
      <c r="K77" s="433">
        <v>0.4</v>
      </c>
      <c r="L77" s="434">
        <v>0.40000000000000091</v>
      </c>
      <c r="M77" s="435">
        <v>105.60694422423688</v>
      </c>
      <c r="N77" s="420">
        <v>-105.60694422423688</v>
      </c>
      <c r="T77" s="415">
        <f t="shared" si="10"/>
        <v>0</v>
      </c>
      <c r="U77" s="416">
        <f t="shared" si="11"/>
        <v>0.25</v>
      </c>
      <c r="V77" s="416">
        <f t="shared" si="12"/>
        <v>0</v>
      </c>
      <c r="W77" s="417">
        <f t="shared" si="13"/>
        <v>5.2631578947368286E-2</v>
      </c>
      <c r="X77" s="418">
        <f t="shared" si="14"/>
        <v>0.25</v>
      </c>
      <c r="Y77" s="419">
        <f t="shared" si="15"/>
        <v>0.2000000000000012</v>
      </c>
      <c r="Z77" s="419">
        <f t="shared" si="16"/>
        <v>-0.14896072349111605</v>
      </c>
      <c r="AB77" s="429">
        <f t="shared" si="9"/>
        <v>0</v>
      </c>
      <c r="AC77" s="430">
        <f t="shared" si="9"/>
        <v>0.25</v>
      </c>
      <c r="AD77" s="430">
        <f t="shared" si="9"/>
        <v>0</v>
      </c>
      <c r="AE77" s="432">
        <f t="shared" si="9"/>
        <v>5.2631578947368286E-2</v>
      </c>
      <c r="AF77" s="433">
        <f t="shared" si="9"/>
        <v>0.25</v>
      </c>
      <c r="AG77" s="434">
        <f t="shared" si="9"/>
        <v>0.2000000000000012</v>
      </c>
      <c r="AH77" s="434">
        <f t="shared" si="9"/>
        <v>0</v>
      </c>
    </row>
    <row r="78" spans="1:34" ht="33" customHeight="1" x14ac:dyDescent="0.35">
      <c r="A78" s="413" t="s">
        <v>9</v>
      </c>
      <c r="B78" s="260" t="s">
        <v>233</v>
      </c>
      <c r="C78" s="259" t="s">
        <v>234</v>
      </c>
      <c r="D78" s="260" t="s">
        <v>916</v>
      </c>
      <c r="E78" s="260" t="s">
        <v>235</v>
      </c>
      <c r="F78" s="414"/>
      <c r="G78" s="429">
        <v>1</v>
      </c>
      <c r="H78" s="430">
        <v>0</v>
      </c>
      <c r="I78" s="431">
        <v>0</v>
      </c>
      <c r="J78" s="432">
        <v>0.18181818181818174</v>
      </c>
      <c r="K78" s="433">
        <v>0.4</v>
      </c>
      <c r="L78" s="434">
        <v>0.45454545454545536</v>
      </c>
      <c r="M78" s="435">
        <v>91.222781924395491</v>
      </c>
      <c r="N78" s="420">
        <v>-91.222781924395491</v>
      </c>
      <c r="T78" s="415">
        <f t="shared" si="10"/>
        <v>0.25</v>
      </c>
      <c r="U78" s="416">
        <f t="shared" si="11"/>
        <v>0</v>
      </c>
      <c r="V78" s="416">
        <f t="shared" si="12"/>
        <v>0</v>
      </c>
      <c r="W78" s="417">
        <f t="shared" si="13"/>
        <v>5.2631578947368286E-2</v>
      </c>
      <c r="X78" s="418">
        <f t="shared" si="14"/>
        <v>0.25</v>
      </c>
      <c r="Y78" s="419">
        <f t="shared" si="15"/>
        <v>0.27272727272727382</v>
      </c>
      <c r="Z78" s="419">
        <f t="shared" si="16"/>
        <v>-1.5323791086167307E-2</v>
      </c>
      <c r="AB78" s="429">
        <f t="shared" si="9"/>
        <v>0.25</v>
      </c>
      <c r="AC78" s="430">
        <f t="shared" si="9"/>
        <v>0</v>
      </c>
      <c r="AD78" s="430">
        <f t="shared" si="9"/>
        <v>0</v>
      </c>
      <c r="AE78" s="432">
        <f t="shared" si="9"/>
        <v>5.2631578947368286E-2</v>
      </c>
      <c r="AF78" s="433">
        <f t="shared" si="9"/>
        <v>0.25</v>
      </c>
      <c r="AG78" s="434">
        <f t="shared" si="9"/>
        <v>0.27272727272727382</v>
      </c>
      <c r="AH78" s="434">
        <f t="shared" si="9"/>
        <v>0</v>
      </c>
    </row>
    <row r="79" spans="1:34" ht="33" customHeight="1" x14ac:dyDescent="0.35">
      <c r="A79" s="413" t="s">
        <v>9</v>
      </c>
      <c r="B79" s="260" t="s">
        <v>236</v>
      </c>
      <c r="C79" s="259" t="s">
        <v>237</v>
      </c>
      <c r="D79" s="260" t="s">
        <v>916</v>
      </c>
      <c r="E79" s="260" t="s">
        <v>238</v>
      </c>
      <c r="F79" s="414"/>
      <c r="G79" s="429">
        <v>0</v>
      </c>
      <c r="H79" s="430">
        <v>0</v>
      </c>
      <c r="I79" s="431">
        <v>0</v>
      </c>
      <c r="J79" s="432">
        <v>0.18181818181818174</v>
      </c>
      <c r="K79" s="433">
        <v>0.35</v>
      </c>
      <c r="L79" s="434">
        <v>0.34545454545454646</v>
      </c>
      <c r="M79" s="435">
        <v>97.183959267900434</v>
      </c>
      <c r="N79" s="420">
        <v>-97.183959267900434</v>
      </c>
      <c r="T79" s="415">
        <f t="shared" si="10"/>
        <v>0</v>
      </c>
      <c r="U79" s="416">
        <f t="shared" si="11"/>
        <v>0</v>
      </c>
      <c r="V79" s="416">
        <f t="shared" si="12"/>
        <v>0</v>
      </c>
      <c r="W79" s="417">
        <f t="shared" si="13"/>
        <v>5.2631578947368286E-2</v>
      </c>
      <c r="X79" s="418">
        <f t="shared" si="14"/>
        <v>0.18749999999999994</v>
      </c>
      <c r="Y79" s="419">
        <f t="shared" si="15"/>
        <v>0.12727272727272862</v>
      </c>
      <c r="Z79" s="419">
        <f t="shared" si="16"/>
        <v>-7.0706470807228722E-2</v>
      </c>
      <c r="AB79" s="429">
        <f t="shared" si="9"/>
        <v>0</v>
      </c>
      <c r="AC79" s="430">
        <f t="shared" si="9"/>
        <v>0</v>
      </c>
      <c r="AD79" s="430">
        <f t="shared" si="9"/>
        <v>0</v>
      </c>
      <c r="AE79" s="432">
        <f t="shared" si="9"/>
        <v>5.2631578947368286E-2</v>
      </c>
      <c r="AF79" s="433">
        <f t="shared" si="9"/>
        <v>0.18749999999999994</v>
      </c>
      <c r="AG79" s="434">
        <f t="shared" si="9"/>
        <v>0.12727272727272862</v>
      </c>
      <c r="AH79" s="434">
        <f t="shared" si="9"/>
        <v>0</v>
      </c>
    </row>
    <row r="80" spans="1:34" ht="33" customHeight="1" x14ac:dyDescent="0.35">
      <c r="A80" s="413" t="s">
        <v>9</v>
      </c>
      <c r="B80" s="260" t="s">
        <v>239</v>
      </c>
      <c r="C80" s="259" t="s">
        <v>240</v>
      </c>
      <c r="D80" s="260" t="s">
        <v>916</v>
      </c>
      <c r="E80" s="260" t="s">
        <v>241</v>
      </c>
      <c r="F80" s="414"/>
      <c r="G80" s="429">
        <v>0</v>
      </c>
      <c r="H80" s="430">
        <v>0</v>
      </c>
      <c r="I80" s="431">
        <v>0</v>
      </c>
      <c r="J80" s="432">
        <v>0.13636363636363641</v>
      </c>
      <c r="K80" s="433">
        <v>0.2</v>
      </c>
      <c r="L80" s="434">
        <v>0.18181818181818302</v>
      </c>
      <c r="M80" s="435">
        <v>75.951508244470773</v>
      </c>
      <c r="N80" s="420">
        <v>-75.951508244470773</v>
      </c>
      <c r="T80" s="415">
        <f t="shared" si="10"/>
        <v>0</v>
      </c>
      <c r="U80" s="416">
        <f t="shared" si="11"/>
        <v>0</v>
      </c>
      <c r="V80" s="416">
        <f t="shared" si="12"/>
        <v>0</v>
      </c>
      <c r="W80" s="417">
        <f t="shared" si="13"/>
        <v>0</v>
      </c>
      <c r="X80" s="418">
        <f t="shared" si="14"/>
        <v>0</v>
      </c>
      <c r="Y80" s="419">
        <f t="shared" si="15"/>
        <v>-9.0909090909089316E-2</v>
      </c>
      <c r="Z80" s="419">
        <f t="shared" si="16"/>
        <v>0.12655490340854619</v>
      </c>
      <c r="AB80" s="429">
        <f t="shared" si="9"/>
        <v>0</v>
      </c>
      <c r="AC80" s="430">
        <f t="shared" si="9"/>
        <v>0</v>
      </c>
      <c r="AD80" s="430">
        <f t="shared" si="9"/>
        <v>0</v>
      </c>
      <c r="AE80" s="432">
        <f t="shared" si="9"/>
        <v>0</v>
      </c>
      <c r="AF80" s="433">
        <f t="shared" si="9"/>
        <v>0</v>
      </c>
      <c r="AG80" s="434">
        <f t="shared" si="9"/>
        <v>0</v>
      </c>
      <c r="AH80" s="434">
        <f t="shared" si="9"/>
        <v>0.12655490340854619</v>
      </c>
    </row>
    <row r="81" spans="1:34" ht="33" customHeight="1" x14ac:dyDescent="0.35">
      <c r="A81" s="426" t="s">
        <v>9</v>
      </c>
      <c r="B81" s="427" t="s">
        <v>242</v>
      </c>
      <c r="C81" s="428" t="s">
        <v>243</v>
      </c>
      <c r="D81" s="260" t="s">
        <v>916</v>
      </c>
      <c r="E81" s="260" t="s">
        <v>244</v>
      </c>
      <c r="F81" s="414"/>
      <c r="G81" s="429">
        <v>2</v>
      </c>
      <c r="H81" s="430">
        <v>4</v>
      </c>
      <c r="I81" s="431">
        <v>4</v>
      </c>
      <c r="J81" s="432">
        <v>1</v>
      </c>
      <c r="K81" s="433">
        <v>1</v>
      </c>
      <c r="L81" s="434">
        <v>1</v>
      </c>
      <c r="M81" s="435">
        <v>0.61491299624011919</v>
      </c>
      <c r="N81" s="420">
        <v>-0.61491299624011919</v>
      </c>
      <c r="T81" s="415">
        <f t="shared" si="10"/>
        <v>0.5</v>
      </c>
      <c r="U81" s="416">
        <f t="shared" si="11"/>
        <v>1</v>
      </c>
      <c r="V81" s="416">
        <f t="shared" si="12"/>
        <v>1</v>
      </c>
      <c r="W81" s="417">
        <f t="shared" si="13"/>
        <v>1</v>
      </c>
      <c r="X81" s="418">
        <f t="shared" si="14"/>
        <v>1</v>
      </c>
      <c r="Y81" s="419">
        <f t="shared" si="15"/>
        <v>1</v>
      </c>
      <c r="Z81" s="419">
        <f t="shared" si="16"/>
        <v>0.82647411155859563</v>
      </c>
      <c r="AB81" s="429">
        <f t="shared" si="9"/>
        <v>0.5</v>
      </c>
      <c r="AC81" s="430">
        <f t="shared" si="9"/>
        <v>1</v>
      </c>
      <c r="AD81" s="430">
        <f t="shared" si="9"/>
        <v>1</v>
      </c>
      <c r="AE81" s="432">
        <f t="shared" si="9"/>
        <v>1</v>
      </c>
      <c r="AF81" s="433">
        <f t="shared" si="9"/>
        <v>1</v>
      </c>
      <c r="AG81" s="434">
        <f t="shared" si="9"/>
        <v>1</v>
      </c>
      <c r="AH81" s="434">
        <f t="shared" si="9"/>
        <v>0.82647411155859563</v>
      </c>
    </row>
    <row r="82" spans="1:34" ht="33" customHeight="1" x14ac:dyDescent="0.35">
      <c r="A82" s="413" t="s">
        <v>9</v>
      </c>
      <c r="B82" s="260" t="s">
        <v>245</v>
      </c>
      <c r="C82" s="259" t="s">
        <v>246</v>
      </c>
      <c r="D82" s="260" t="s">
        <v>916</v>
      </c>
      <c r="E82" s="260" t="s">
        <v>247</v>
      </c>
      <c r="F82" s="414"/>
      <c r="G82" s="429">
        <v>0</v>
      </c>
      <c r="H82" s="430">
        <v>0</v>
      </c>
      <c r="I82" s="431">
        <v>0</v>
      </c>
      <c r="J82" s="432">
        <v>0.18181818181818174</v>
      </c>
      <c r="K82" s="433">
        <v>0.15</v>
      </c>
      <c r="L82" s="434">
        <v>0.23636363636363755</v>
      </c>
      <c r="M82" s="435">
        <v>109.52710460295052</v>
      </c>
      <c r="N82" s="420">
        <v>-109.52710460295052</v>
      </c>
      <c r="T82" s="415">
        <f t="shared" si="10"/>
        <v>0</v>
      </c>
      <c r="U82" s="416">
        <f t="shared" si="11"/>
        <v>0</v>
      </c>
      <c r="V82" s="416">
        <f t="shared" si="12"/>
        <v>0</v>
      </c>
      <c r="W82" s="417">
        <f t="shared" si="13"/>
        <v>5.2631578947368286E-2</v>
      </c>
      <c r="X82" s="418">
        <f t="shared" si="14"/>
        <v>-6.2500000000000014E-2</v>
      </c>
      <c r="Y82" s="419">
        <f t="shared" si="15"/>
        <v>-1.8181818181816595E-2</v>
      </c>
      <c r="Z82" s="419">
        <f t="shared" si="16"/>
        <v>-0.18538121129056812</v>
      </c>
      <c r="AB82" s="429">
        <f t="shared" si="9"/>
        <v>0</v>
      </c>
      <c r="AC82" s="430">
        <f t="shared" si="9"/>
        <v>0</v>
      </c>
      <c r="AD82" s="430">
        <f t="shared" si="9"/>
        <v>0</v>
      </c>
      <c r="AE82" s="432">
        <f t="shared" si="9"/>
        <v>5.2631578947368286E-2</v>
      </c>
      <c r="AF82" s="433">
        <f t="shared" si="9"/>
        <v>0</v>
      </c>
      <c r="AG82" s="434">
        <f t="shared" si="9"/>
        <v>0</v>
      </c>
      <c r="AH82" s="434">
        <f t="shared" si="9"/>
        <v>0</v>
      </c>
    </row>
    <row r="83" spans="1:34" ht="33" customHeight="1" x14ac:dyDescent="0.35">
      <c r="A83" s="413" t="s">
        <v>9</v>
      </c>
      <c r="B83" s="260" t="s">
        <v>248</v>
      </c>
      <c r="C83" s="259" t="s">
        <v>249</v>
      </c>
      <c r="D83" s="260" t="s">
        <v>916</v>
      </c>
      <c r="E83" s="260" t="s">
        <v>250</v>
      </c>
      <c r="F83" s="414"/>
      <c r="G83" s="429">
        <v>0</v>
      </c>
      <c r="H83" s="430">
        <v>0</v>
      </c>
      <c r="I83" s="431">
        <v>0</v>
      </c>
      <c r="J83" s="432">
        <v>9.0909090909090939E-2</v>
      </c>
      <c r="K83" s="433">
        <v>0.15</v>
      </c>
      <c r="L83" s="434">
        <v>0.23636363636363755</v>
      </c>
      <c r="M83" s="435">
        <v>68.661517267888726</v>
      </c>
      <c r="N83" s="420">
        <v>-68.661517267888726</v>
      </c>
      <c r="T83" s="415">
        <f t="shared" si="10"/>
        <v>0</v>
      </c>
      <c r="U83" s="416">
        <f t="shared" si="11"/>
        <v>0</v>
      </c>
      <c r="V83" s="416">
        <f t="shared" si="12"/>
        <v>0</v>
      </c>
      <c r="W83" s="417">
        <f t="shared" si="13"/>
        <v>-5.2631578947368446E-2</v>
      </c>
      <c r="X83" s="418">
        <f t="shared" si="14"/>
        <v>-6.2500000000000014E-2</v>
      </c>
      <c r="Y83" s="419">
        <f t="shared" si="15"/>
        <v>-1.8181818181816595E-2</v>
      </c>
      <c r="Z83" s="419">
        <f t="shared" si="16"/>
        <v>0.19428300679492994</v>
      </c>
      <c r="AB83" s="429">
        <f t="shared" si="9"/>
        <v>0</v>
      </c>
      <c r="AC83" s="430">
        <f t="shared" si="9"/>
        <v>0</v>
      </c>
      <c r="AD83" s="430">
        <f t="shared" si="9"/>
        <v>0</v>
      </c>
      <c r="AE83" s="432">
        <f t="shared" si="9"/>
        <v>0</v>
      </c>
      <c r="AF83" s="433">
        <f t="shared" si="9"/>
        <v>0</v>
      </c>
      <c r="AG83" s="434">
        <f t="shared" si="9"/>
        <v>0</v>
      </c>
      <c r="AH83" s="434">
        <f t="shared" si="9"/>
        <v>0.19428300679492994</v>
      </c>
    </row>
    <row r="84" spans="1:34" ht="33" customHeight="1" x14ac:dyDescent="0.35">
      <c r="A84" s="413" t="s">
        <v>251</v>
      </c>
      <c r="B84" s="260" t="s">
        <v>10</v>
      </c>
      <c r="C84" s="259" t="s">
        <v>252</v>
      </c>
      <c r="D84" s="260" t="s">
        <v>925</v>
      </c>
      <c r="E84" s="260" t="s">
        <v>253</v>
      </c>
      <c r="F84" s="414"/>
      <c r="G84" s="429">
        <v>0</v>
      </c>
      <c r="H84" s="430">
        <v>3</v>
      </c>
      <c r="I84" s="431">
        <v>2</v>
      </c>
      <c r="J84" s="432">
        <v>0.4</v>
      </c>
      <c r="K84" s="433">
        <v>0.22222222222222215</v>
      </c>
      <c r="L84" s="434">
        <v>0.55555555555555558</v>
      </c>
      <c r="M84" s="463">
        <v>76.293365794278742</v>
      </c>
      <c r="N84" s="420">
        <v>-76.293365794278742</v>
      </c>
      <c r="T84" s="415">
        <f t="shared" si="10"/>
        <v>0</v>
      </c>
      <c r="U84" s="416">
        <f t="shared" si="11"/>
        <v>0.75</v>
      </c>
      <c r="V84" s="416">
        <f t="shared" si="12"/>
        <v>0.5</v>
      </c>
      <c r="W84" s="417">
        <f t="shared" si="13"/>
        <v>0.30526315789473685</v>
      </c>
      <c r="X84" s="418">
        <f t="shared" si="14"/>
        <v>2.7777777777777679E-2</v>
      </c>
      <c r="Y84" s="419">
        <f t="shared" si="15"/>
        <v>0.40740740740740744</v>
      </c>
      <c r="Z84" s="419">
        <f t="shared" si="16"/>
        <v>0.12337885510462009</v>
      </c>
      <c r="AB84" s="429">
        <f t="shared" si="9"/>
        <v>0</v>
      </c>
      <c r="AC84" s="430">
        <f t="shared" si="9"/>
        <v>0.75</v>
      </c>
      <c r="AD84" s="430">
        <f t="shared" si="9"/>
        <v>0.5</v>
      </c>
      <c r="AE84" s="432">
        <f t="shared" si="9"/>
        <v>0.30526315789473685</v>
      </c>
      <c r="AF84" s="433">
        <f t="shared" si="9"/>
        <v>2.7777777777777679E-2</v>
      </c>
      <c r="AG84" s="434">
        <f t="shared" si="9"/>
        <v>0.40740740740740744</v>
      </c>
      <c r="AH84" s="434">
        <f t="shared" si="9"/>
        <v>0.12337885510462009</v>
      </c>
    </row>
    <row r="85" spans="1:34" ht="33" customHeight="1" x14ac:dyDescent="0.35">
      <c r="A85" s="413" t="s">
        <v>251</v>
      </c>
      <c r="B85" s="260" t="s">
        <v>13</v>
      </c>
      <c r="C85" s="259" t="s">
        <v>254</v>
      </c>
      <c r="D85" s="260" t="s">
        <v>919</v>
      </c>
      <c r="E85" s="260" t="s">
        <v>255</v>
      </c>
      <c r="F85" s="414"/>
      <c r="G85" s="429">
        <v>0</v>
      </c>
      <c r="H85" s="430">
        <v>0</v>
      </c>
      <c r="I85" s="431">
        <v>0</v>
      </c>
      <c r="J85" s="432">
        <v>0.1</v>
      </c>
      <c r="K85" s="433">
        <v>5.5555555555555573E-2</v>
      </c>
      <c r="L85" s="434">
        <v>0.16666666666666657</v>
      </c>
      <c r="M85" s="435">
        <v>71.084182015576602</v>
      </c>
      <c r="N85" s="420">
        <v>-71.084182015576602</v>
      </c>
      <c r="T85" s="415">
        <f t="shared" si="10"/>
        <v>0</v>
      </c>
      <c r="U85" s="416">
        <f t="shared" si="11"/>
        <v>0</v>
      </c>
      <c r="V85" s="416">
        <f t="shared" si="12"/>
        <v>0</v>
      </c>
      <c r="W85" s="417">
        <f t="shared" si="13"/>
        <v>-4.2105263157894784E-2</v>
      </c>
      <c r="X85" s="418">
        <f t="shared" si="14"/>
        <v>-0.18055555555555552</v>
      </c>
      <c r="Y85" s="419">
        <f t="shared" si="15"/>
        <v>-0.11111111111111123</v>
      </c>
      <c r="Z85" s="419">
        <f t="shared" si="16"/>
        <v>0.17177509299516791</v>
      </c>
      <c r="AB85" s="429">
        <f t="shared" si="9"/>
        <v>0</v>
      </c>
      <c r="AC85" s="430">
        <f t="shared" si="9"/>
        <v>0</v>
      </c>
      <c r="AD85" s="430">
        <f t="shared" si="9"/>
        <v>0</v>
      </c>
      <c r="AE85" s="432">
        <f t="shared" si="9"/>
        <v>0</v>
      </c>
      <c r="AF85" s="433">
        <f t="shared" si="9"/>
        <v>0</v>
      </c>
      <c r="AG85" s="434">
        <f t="shared" si="9"/>
        <v>0</v>
      </c>
      <c r="AH85" s="434">
        <f t="shared" si="9"/>
        <v>0.17177509299516791</v>
      </c>
    </row>
    <row r="86" spans="1:34" ht="33" customHeight="1" x14ac:dyDescent="0.35">
      <c r="A86" s="413" t="s">
        <v>251</v>
      </c>
      <c r="B86" s="260" t="s">
        <v>16</v>
      </c>
      <c r="C86" s="259" t="s">
        <v>256</v>
      </c>
      <c r="D86" s="461" t="s">
        <v>993</v>
      </c>
      <c r="E86" s="260" t="s">
        <v>257</v>
      </c>
      <c r="F86" s="414" t="s">
        <v>950</v>
      </c>
      <c r="G86" s="429">
        <v>0</v>
      </c>
      <c r="H86" s="430">
        <v>0</v>
      </c>
      <c r="I86" s="431">
        <v>0</v>
      </c>
      <c r="J86" s="452">
        <v>0</v>
      </c>
      <c r="K86" s="453">
        <v>0</v>
      </c>
      <c r="L86" s="454">
        <v>0</v>
      </c>
      <c r="M86" s="455">
        <v>81.871363204859364</v>
      </c>
      <c r="N86" s="420">
        <v>-81.871363204859364</v>
      </c>
      <c r="T86" s="415">
        <f t="shared" si="10"/>
        <v>0</v>
      </c>
      <c r="U86" s="416">
        <f t="shared" si="11"/>
        <v>0</v>
      </c>
      <c r="V86" s="416">
        <f t="shared" si="12"/>
        <v>0</v>
      </c>
      <c r="W86" s="417">
        <f t="shared" si="13"/>
        <v>-0.15789473684210534</v>
      </c>
      <c r="X86" s="418">
        <f t="shared" si="14"/>
        <v>-0.25</v>
      </c>
      <c r="Y86" s="419">
        <f t="shared" si="15"/>
        <v>-0.33333333333333331</v>
      </c>
      <c r="Z86" s="419">
        <f t="shared" si="16"/>
        <v>7.1556131794486055E-2</v>
      </c>
      <c r="AB86" s="429">
        <f t="shared" si="9"/>
        <v>0</v>
      </c>
      <c r="AC86" s="430">
        <f t="shared" si="9"/>
        <v>0</v>
      </c>
      <c r="AD86" s="430">
        <f t="shared" si="9"/>
        <v>0</v>
      </c>
      <c r="AE86" s="432">
        <f t="shared" si="9"/>
        <v>0</v>
      </c>
      <c r="AF86" s="433">
        <f t="shared" si="9"/>
        <v>0</v>
      </c>
      <c r="AG86" s="434">
        <f t="shared" si="9"/>
        <v>0</v>
      </c>
      <c r="AH86" s="434">
        <f t="shared" si="9"/>
        <v>7.1556131794486055E-2</v>
      </c>
    </row>
    <row r="87" spans="1:34" ht="33" customHeight="1" x14ac:dyDescent="0.35">
      <c r="A87" s="413" t="s">
        <v>251</v>
      </c>
      <c r="B87" s="260" t="s">
        <v>19</v>
      </c>
      <c r="C87" s="259" t="s">
        <v>258</v>
      </c>
      <c r="D87" s="260" t="s">
        <v>918</v>
      </c>
      <c r="E87" s="260" t="s">
        <v>259</v>
      </c>
      <c r="F87" s="414"/>
      <c r="G87" s="429">
        <v>1</v>
      </c>
      <c r="H87" s="430">
        <v>0</v>
      </c>
      <c r="I87" s="431">
        <v>1</v>
      </c>
      <c r="J87" s="432">
        <v>0.25</v>
      </c>
      <c r="K87" s="433">
        <v>0.22222222222222215</v>
      </c>
      <c r="L87" s="434">
        <v>0.33333333333333343</v>
      </c>
      <c r="M87" s="435">
        <v>72.51320895020072</v>
      </c>
      <c r="N87" s="420">
        <v>-72.51320895020072</v>
      </c>
      <c r="T87" s="415">
        <f t="shared" si="10"/>
        <v>0.25</v>
      </c>
      <c r="U87" s="416">
        <f t="shared" si="11"/>
        <v>0</v>
      </c>
      <c r="V87" s="416">
        <f t="shared" si="12"/>
        <v>0.25</v>
      </c>
      <c r="W87" s="417">
        <f t="shared" si="13"/>
        <v>0.13157894736842102</v>
      </c>
      <c r="X87" s="418">
        <f t="shared" si="14"/>
        <v>2.7777777777777679E-2</v>
      </c>
      <c r="Y87" s="419">
        <f t="shared" si="15"/>
        <v>0.11111111111111123</v>
      </c>
      <c r="Z87" s="419">
        <f t="shared" si="16"/>
        <v>0.15849863157277974</v>
      </c>
      <c r="AB87" s="429">
        <f t="shared" si="9"/>
        <v>0.25</v>
      </c>
      <c r="AC87" s="430">
        <f t="shared" si="9"/>
        <v>0</v>
      </c>
      <c r="AD87" s="430">
        <f t="shared" si="9"/>
        <v>0.25</v>
      </c>
      <c r="AE87" s="432">
        <f t="shared" si="9"/>
        <v>0.13157894736842102</v>
      </c>
      <c r="AF87" s="433">
        <f t="shared" si="9"/>
        <v>2.7777777777777679E-2</v>
      </c>
      <c r="AG87" s="434">
        <f t="shared" si="9"/>
        <v>0.11111111111111123</v>
      </c>
      <c r="AH87" s="434">
        <f t="shared" si="9"/>
        <v>0.15849863157277974</v>
      </c>
    </row>
    <row r="88" spans="1:34" ht="33" customHeight="1" x14ac:dyDescent="0.35">
      <c r="A88" s="413" t="s">
        <v>251</v>
      </c>
      <c r="B88" s="260" t="s">
        <v>23</v>
      </c>
      <c r="C88" s="259" t="s">
        <v>260</v>
      </c>
      <c r="D88" s="260" t="s">
        <v>938</v>
      </c>
      <c r="E88" s="260" t="s">
        <v>261</v>
      </c>
      <c r="F88" s="414"/>
      <c r="G88" s="429">
        <v>0</v>
      </c>
      <c r="H88" s="430">
        <v>0</v>
      </c>
      <c r="I88" s="431">
        <v>0</v>
      </c>
      <c r="J88" s="432">
        <v>0.1</v>
      </c>
      <c r="K88" s="433">
        <v>0.16666666666666657</v>
      </c>
      <c r="L88" s="434">
        <v>0.38888888888888884</v>
      </c>
      <c r="M88" s="435">
        <v>44.330744830731653</v>
      </c>
      <c r="N88" s="420">
        <v>-44.330744830731653</v>
      </c>
      <c r="T88" s="415">
        <f t="shared" si="10"/>
        <v>0</v>
      </c>
      <c r="U88" s="416">
        <f t="shared" si="11"/>
        <v>0</v>
      </c>
      <c r="V88" s="416">
        <f t="shared" si="12"/>
        <v>0</v>
      </c>
      <c r="W88" s="417">
        <f t="shared" si="13"/>
        <v>-4.2105263157894784E-2</v>
      </c>
      <c r="X88" s="418">
        <f t="shared" si="14"/>
        <v>-4.1666666666666796E-2</v>
      </c>
      <c r="Y88" s="419">
        <f t="shared" si="15"/>
        <v>0.18518518518518512</v>
      </c>
      <c r="Z88" s="419">
        <f t="shared" si="16"/>
        <v>0.42032952405234453</v>
      </c>
      <c r="AB88" s="429">
        <f t="shared" si="9"/>
        <v>0</v>
      </c>
      <c r="AC88" s="430">
        <f t="shared" si="9"/>
        <v>0</v>
      </c>
      <c r="AD88" s="430">
        <f t="shared" si="9"/>
        <v>0</v>
      </c>
      <c r="AE88" s="432">
        <f t="shared" si="9"/>
        <v>0</v>
      </c>
      <c r="AF88" s="433">
        <f t="shared" si="9"/>
        <v>0</v>
      </c>
      <c r="AG88" s="434">
        <f t="shared" si="9"/>
        <v>0.18518518518518512</v>
      </c>
      <c r="AH88" s="434">
        <f t="shared" si="9"/>
        <v>0.42032952405234453</v>
      </c>
    </row>
    <row r="89" spans="1:34" ht="33" customHeight="1" x14ac:dyDescent="0.35">
      <c r="A89" s="413" t="s">
        <v>251</v>
      </c>
      <c r="B89" s="260" t="s">
        <v>26</v>
      </c>
      <c r="C89" s="259" t="s">
        <v>262</v>
      </c>
      <c r="D89" s="260" t="s">
        <v>918</v>
      </c>
      <c r="E89" s="260" t="s">
        <v>263</v>
      </c>
      <c r="F89" s="414"/>
      <c r="G89" s="429">
        <v>3</v>
      </c>
      <c r="H89" s="430">
        <v>4</v>
      </c>
      <c r="I89" s="431">
        <v>4</v>
      </c>
      <c r="J89" s="452">
        <v>0.27272727272727265</v>
      </c>
      <c r="K89" s="453">
        <v>0.4</v>
      </c>
      <c r="L89" s="454">
        <v>0.27777777777777785</v>
      </c>
      <c r="M89" s="455">
        <v>50.794506277859881</v>
      </c>
      <c r="N89" s="420">
        <v>-50.794506277859881</v>
      </c>
      <c r="T89" s="415">
        <f t="shared" si="10"/>
        <v>0.75</v>
      </c>
      <c r="U89" s="416">
        <f t="shared" si="11"/>
        <v>1</v>
      </c>
      <c r="V89" s="416">
        <f t="shared" si="12"/>
        <v>1</v>
      </c>
      <c r="W89" s="417">
        <f t="shared" si="13"/>
        <v>0.15789473684210514</v>
      </c>
      <c r="X89" s="418">
        <f t="shared" si="14"/>
        <v>0.25</v>
      </c>
      <c r="Y89" s="419">
        <f t="shared" si="15"/>
        <v>3.7037037037037125E-2</v>
      </c>
      <c r="Z89" s="419">
        <f t="shared" si="16"/>
        <v>0.36027755622929558</v>
      </c>
      <c r="AB89" s="429">
        <f t="shared" si="9"/>
        <v>0.75</v>
      </c>
      <c r="AC89" s="430">
        <f t="shared" si="9"/>
        <v>1</v>
      </c>
      <c r="AD89" s="430">
        <f t="shared" si="9"/>
        <v>1</v>
      </c>
      <c r="AE89" s="432">
        <f t="shared" si="9"/>
        <v>0.15789473684210514</v>
      </c>
      <c r="AF89" s="433">
        <f t="shared" si="9"/>
        <v>0.25</v>
      </c>
      <c r="AG89" s="434">
        <f t="shared" si="9"/>
        <v>3.7037037037037125E-2</v>
      </c>
      <c r="AH89" s="434">
        <f t="shared" si="9"/>
        <v>0.36027755622929558</v>
      </c>
    </row>
    <row r="90" spans="1:34" ht="33" customHeight="1" x14ac:dyDescent="0.35">
      <c r="A90" s="413" t="s">
        <v>251</v>
      </c>
      <c r="B90" s="260" t="s">
        <v>29</v>
      </c>
      <c r="C90" s="259" t="s">
        <v>264</v>
      </c>
      <c r="D90" s="260" t="s">
        <v>918</v>
      </c>
      <c r="E90" s="260" t="s">
        <v>265</v>
      </c>
      <c r="F90" s="414"/>
      <c r="G90" s="429">
        <v>0</v>
      </c>
      <c r="H90" s="430">
        <v>0</v>
      </c>
      <c r="I90" s="431">
        <v>0</v>
      </c>
      <c r="J90" s="432">
        <v>0.15</v>
      </c>
      <c r="K90" s="433">
        <v>0.22222222222222215</v>
      </c>
      <c r="L90" s="434">
        <v>0.33333333333333343</v>
      </c>
      <c r="M90" s="435">
        <v>68.757938716157668</v>
      </c>
      <c r="N90" s="420">
        <v>-68.757938716157668</v>
      </c>
      <c r="T90" s="415">
        <f t="shared" si="10"/>
        <v>0</v>
      </c>
      <c r="U90" s="416">
        <f t="shared" si="11"/>
        <v>0</v>
      </c>
      <c r="V90" s="416">
        <f t="shared" si="12"/>
        <v>0</v>
      </c>
      <c r="W90" s="417">
        <f t="shared" si="13"/>
        <v>1.5789473684210468E-2</v>
      </c>
      <c r="X90" s="418">
        <f t="shared" si="14"/>
        <v>2.7777777777777679E-2</v>
      </c>
      <c r="Y90" s="419">
        <f t="shared" si="15"/>
        <v>0.11111111111111123</v>
      </c>
      <c r="Z90" s="419">
        <f t="shared" si="16"/>
        <v>0.1933871974807618</v>
      </c>
      <c r="AB90" s="429">
        <f t="shared" si="9"/>
        <v>0</v>
      </c>
      <c r="AC90" s="430">
        <f t="shared" si="9"/>
        <v>0</v>
      </c>
      <c r="AD90" s="430">
        <f t="shared" si="9"/>
        <v>0</v>
      </c>
      <c r="AE90" s="432">
        <f t="shared" si="9"/>
        <v>1.5789473684210468E-2</v>
      </c>
      <c r="AF90" s="433">
        <f t="shared" si="9"/>
        <v>2.7777777777777679E-2</v>
      </c>
      <c r="AG90" s="434">
        <f t="shared" ref="AF90:AH153" si="17">IF(Y90&lt;0,0,Y90)</f>
        <v>0.11111111111111123</v>
      </c>
      <c r="AH90" s="434">
        <f t="shared" si="17"/>
        <v>0.1933871974807618</v>
      </c>
    </row>
    <row r="91" spans="1:34" ht="33" customHeight="1" x14ac:dyDescent="0.35">
      <c r="A91" s="413" t="s">
        <v>251</v>
      </c>
      <c r="B91" s="260" t="s">
        <v>32</v>
      </c>
      <c r="C91" s="259" t="s">
        <v>266</v>
      </c>
      <c r="D91" s="260" t="s">
        <v>918</v>
      </c>
      <c r="E91" s="260" t="s">
        <v>267</v>
      </c>
      <c r="F91" s="414"/>
      <c r="G91" s="429">
        <v>4</v>
      </c>
      <c r="H91" s="430">
        <v>4</v>
      </c>
      <c r="I91" s="431">
        <v>4</v>
      </c>
      <c r="J91" s="432">
        <v>0.35</v>
      </c>
      <c r="K91" s="433">
        <v>0.5</v>
      </c>
      <c r="L91" s="434">
        <v>0.77777777777777768</v>
      </c>
      <c r="M91" s="463">
        <v>67.52891052951918</v>
      </c>
      <c r="N91" s="420">
        <v>-67.52891052951918</v>
      </c>
      <c r="T91" s="415">
        <f t="shared" si="10"/>
        <v>1</v>
      </c>
      <c r="U91" s="416">
        <f t="shared" si="11"/>
        <v>1</v>
      </c>
      <c r="V91" s="416">
        <f t="shared" si="12"/>
        <v>1</v>
      </c>
      <c r="W91" s="417">
        <f t="shared" si="13"/>
        <v>0.24736842105263154</v>
      </c>
      <c r="X91" s="418">
        <f t="shared" si="14"/>
        <v>0.37499999999999994</v>
      </c>
      <c r="Y91" s="419">
        <f t="shared" si="15"/>
        <v>0.70370370370370361</v>
      </c>
      <c r="Z91" s="419">
        <f t="shared" si="16"/>
        <v>0.20480555840285702</v>
      </c>
      <c r="AB91" s="429">
        <f t="shared" ref="AB91:AE154" si="18">IF(T91&lt;0,0,T91)</f>
        <v>1</v>
      </c>
      <c r="AC91" s="430">
        <f t="shared" si="18"/>
        <v>1</v>
      </c>
      <c r="AD91" s="430">
        <f t="shared" si="18"/>
        <v>1</v>
      </c>
      <c r="AE91" s="432">
        <f t="shared" si="18"/>
        <v>0.24736842105263154</v>
      </c>
      <c r="AF91" s="433">
        <f t="shared" si="17"/>
        <v>0.37499999999999994</v>
      </c>
      <c r="AG91" s="434">
        <f t="shared" si="17"/>
        <v>0.70370370370370361</v>
      </c>
      <c r="AH91" s="434">
        <f t="shared" si="17"/>
        <v>0.20480555840285702</v>
      </c>
    </row>
    <row r="92" spans="1:34" ht="33" customHeight="1" x14ac:dyDescent="0.35">
      <c r="A92" s="413" t="s">
        <v>251</v>
      </c>
      <c r="B92" s="260" t="s">
        <v>35</v>
      </c>
      <c r="C92" s="259" t="s">
        <v>268</v>
      </c>
      <c r="D92" s="260" t="s">
        <v>918</v>
      </c>
      <c r="E92" s="260" t="s">
        <v>269</v>
      </c>
      <c r="F92" s="414"/>
      <c r="G92" s="429">
        <v>2</v>
      </c>
      <c r="H92" s="430">
        <v>2</v>
      </c>
      <c r="I92" s="431">
        <v>0</v>
      </c>
      <c r="J92" s="432">
        <v>0.2</v>
      </c>
      <c r="K92" s="433">
        <v>0.33333333333333343</v>
      </c>
      <c r="L92" s="434">
        <v>0.55555555555555558</v>
      </c>
      <c r="M92" s="435">
        <v>77.036732211183036</v>
      </c>
      <c r="N92" s="420">
        <v>-77.036732211183036</v>
      </c>
      <c r="T92" s="415">
        <f t="shared" si="10"/>
        <v>0.5</v>
      </c>
      <c r="U92" s="416">
        <f t="shared" si="11"/>
        <v>0.5</v>
      </c>
      <c r="V92" s="416">
        <f t="shared" si="12"/>
        <v>0</v>
      </c>
      <c r="W92" s="417">
        <f t="shared" si="13"/>
        <v>7.3684210526315755E-2</v>
      </c>
      <c r="X92" s="418">
        <f t="shared" si="14"/>
        <v>0.16666666666666677</v>
      </c>
      <c r="Y92" s="419">
        <f t="shared" si="15"/>
        <v>0.40740740740740744</v>
      </c>
      <c r="Z92" s="419">
        <f t="shared" si="16"/>
        <v>0.11647256431498937</v>
      </c>
      <c r="AB92" s="429">
        <f t="shared" si="18"/>
        <v>0.5</v>
      </c>
      <c r="AC92" s="430">
        <f t="shared" si="18"/>
        <v>0.5</v>
      </c>
      <c r="AD92" s="430">
        <f t="shared" si="18"/>
        <v>0</v>
      </c>
      <c r="AE92" s="432">
        <f t="shared" si="18"/>
        <v>7.3684210526315755E-2</v>
      </c>
      <c r="AF92" s="433">
        <f t="shared" si="17"/>
        <v>0.16666666666666677</v>
      </c>
      <c r="AG92" s="434">
        <f t="shared" si="17"/>
        <v>0.40740740740740744</v>
      </c>
      <c r="AH92" s="434">
        <f t="shared" si="17"/>
        <v>0.11647256431498937</v>
      </c>
    </row>
    <row r="93" spans="1:34" ht="33" customHeight="1" x14ac:dyDescent="0.35">
      <c r="A93" s="426" t="s">
        <v>251</v>
      </c>
      <c r="B93" s="427" t="s">
        <v>38</v>
      </c>
      <c r="C93" s="428" t="s">
        <v>270</v>
      </c>
      <c r="D93" s="462" t="s">
        <v>915</v>
      </c>
      <c r="E93" s="260" t="s">
        <v>271</v>
      </c>
      <c r="F93" s="414"/>
      <c r="G93" s="429">
        <v>4</v>
      </c>
      <c r="H93" s="430">
        <v>4</v>
      </c>
      <c r="I93" s="431">
        <v>4</v>
      </c>
      <c r="J93" s="432">
        <v>1</v>
      </c>
      <c r="K93" s="433">
        <v>1</v>
      </c>
      <c r="L93" s="434">
        <v>1</v>
      </c>
      <c r="M93" s="435">
        <v>-7.9569400263903507</v>
      </c>
      <c r="N93" s="420">
        <v>7.9569400263903507</v>
      </c>
      <c r="T93" s="415">
        <f t="shared" si="10"/>
        <v>1</v>
      </c>
      <c r="U93" s="416">
        <f t="shared" si="11"/>
        <v>1</v>
      </c>
      <c r="V93" s="416">
        <f t="shared" si="12"/>
        <v>1</v>
      </c>
      <c r="W93" s="417">
        <f t="shared" si="13"/>
        <v>1</v>
      </c>
      <c r="X93" s="418">
        <f t="shared" si="14"/>
        <v>1</v>
      </c>
      <c r="Y93" s="419">
        <f t="shared" si="15"/>
        <v>1</v>
      </c>
      <c r="Z93" s="419">
        <f t="shared" si="16"/>
        <v>0.90611143204287969</v>
      </c>
      <c r="AB93" s="429">
        <f t="shared" si="18"/>
        <v>1</v>
      </c>
      <c r="AC93" s="430">
        <f t="shared" si="18"/>
        <v>1</v>
      </c>
      <c r="AD93" s="430">
        <f t="shared" si="18"/>
        <v>1</v>
      </c>
      <c r="AE93" s="432">
        <f t="shared" si="18"/>
        <v>1</v>
      </c>
      <c r="AF93" s="433">
        <f t="shared" si="17"/>
        <v>1</v>
      </c>
      <c r="AG93" s="434">
        <f t="shared" si="17"/>
        <v>1</v>
      </c>
      <c r="AH93" s="434">
        <f t="shared" si="17"/>
        <v>0.90611143204287969</v>
      </c>
    </row>
    <row r="94" spans="1:34" ht="33" customHeight="1" x14ac:dyDescent="0.35">
      <c r="A94" s="413" t="s">
        <v>251</v>
      </c>
      <c r="B94" s="260" t="s">
        <v>41</v>
      </c>
      <c r="C94" s="259" t="s">
        <v>272</v>
      </c>
      <c r="D94" s="260" t="s">
        <v>916</v>
      </c>
      <c r="E94" s="260" t="s">
        <v>273</v>
      </c>
      <c r="F94" s="414"/>
      <c r="G94" s="429">
        <v>0</v>
      </c>
      <c r="H94" s="430">
        <v>0</v>
      </c>
      <c r="I94" s="431">
        <v>0</v>
      </c>
      <c r="J94" s="432">
        <v>0.1</v>
      </c>
      <c r="K94" s="433">
        <v>0.1891891891891892</v>
      </c>
      <c r="L94" s="434">
        <v>0.33333333333333343</v>
      </c>
      <c r="M94" s="435">
        <v>80.998546877665603</v>
      </c>
      <c r="N94" s="420">
        <v>-80.998546877665603</v>
      </c>
      <c r="T94" s="415">
        <f t="shared" si="10"/>
        <v>0</v>
      </c>
      <c r="U94" s="416">
        <f t="shared" si="11"/>
        <v>0</v>
      </c>
      <c r="V94" s="416">
        <f t="shared" si="12"/>
        <v>0</v>
      </c>
      <c r="W94" s="417">
        <f t="shared" si="13"/>
        <v>-4.2105263157894784E-2</v>
      </c>
      <c r="X94" s="418">
        <f t="shared" si="14"/>
        <v>-1.3513513513513514E-2</v>
      </c>
      <c r="Y94" s="419">
        <f t="shared" si="15"/>
        <v>0.11111111111111123</v>
      </c>
      <c r="Z94" s="419">
        <f t="shared" si="16"/>
        <v>7.9665084828227498E-2</v>
      </c>
      <c r="AB94" s="429">
        <f t="shared" si="18"/>
        <v>0</v>
      </c>
      <c r="AC94" s="430">
        <f t="shared" si="18"/>
        <v>0</v>
      </c>
      <c r="AD94" s="430">
        <f t="shared" si="18"/>
        <v>0</v>
      </c>
      <c r="AE94" s="432">
        <f t="shared" si="18"/>
        <v>0</v>
      </c>
      <c r="AF94" s="433">
        <f t="shared" si="17"/>
        <v>0</v>
      </c>
      <c r="AG94" s="434">
        <f t="shared" si="17"/>
        <v>0.11111111111111123</v>
      </c>
      <c r="AH94" s="434">
        <f t="shared" si="17"/>
        <v>7.9665084828227498E-2</v>
      </c>
    </row>
    <row r="95" spans="1:34" ht="33" customHeight="1" x14ac:dyDescent="0.35">
      <c r="A95" s="413" t="s">
        <v>251</v>
      </c>
      <c r="B95" s="260" t="s">
        <v>44</v>
      </c>
      <c r="C95" s="259" t="s">
        <v>274</v>
      </c>
      <c r="D95" s="260" t="s">
        <v>919</v>
      </c>
      <c r="E95" s="260" t="s">
        <v>275</v>
      </c>
      <c r="F95" s="414"/>
      <c r="G95" s="429">
        <v>0</v>
      </c>
      <c r="H95" s="430">
        <v>0</v>
      </c>
      <c r="I95" s="431">
        <v>0</v>
      </c>
      <c r="J95" s="432">
        <v>0.15</v>
      </c>
      <c r="K95" s="433">
        <v>0.13513513513513517</v>
      </c>
      <c r="L95" s="434">
        <v>0.16666666666666657</v>
      </c>
      <c r="M95" s="435">
        <v>66.929270499803295</v>
      </c>
      <c r="N95" s="420">
        <v>-66.929270499803295</v>
      </c>
      <c r="T95" s="415">
        <f t="shared" si="10"/>
        <v>0</v>
      </c>
      <c r="U95" s="416">
        <f t="shared" si="11"/>
        <v>0</v>
      </c>
      <c r="V95" s="416">
        <f t="shared" si="12"/>
        <v>0</v>
      </c>
      <c r="W95" s="417">
        <f t="shared" si="13"/>
        <v>1.5789473684210468E-2</v>
      </c>
      <c r="X95" s="418">
        <f t="shared" si="14"/>
        <v>-8.1081081081081044E-2</v>
      </c>
      <c r="Y95" s="419">
        <f t="shared" si="15"/>
        <v>-0.11111111111111123</v>
      </c>
      <c r="Z95" s="419">
        <f t="shared" si="16"/>
        <v>0.21037655047372145</v>
      </c>
      <c r="AB95" s="429">
        <f t="shared" si="18"/>
        <v>0</v>
      </c>
      <c r="AC95" s="430">
        <f t="shared" si="18"/>
        <v>0</v>
      </c>
      <c r="AD95" s="430">
        <f t="shared" si="18"/>
        <v>0</v>
      </c>
      <c r="AE95" s="432">
        <f t="shared" si="18"/>
        <v>1.5789473684210468E-2</v>
      </c>
      <c r="AF95" s="433">
        <f t="shared" si="17"/>
        <v>0</v>
      </c>
      <c r="AG95" s="434">
        <f t="shared" si="17"/>
        <v>0</v>
      </c>
      <c r="AH95" s="434">
        <f t="shared" si="17"/>
        <v>0.21037655047372145</v>
      </c>
    </row>
    <row r="96" spans="1:34" ht="33" customHeight="1" x14ac:dyDescent="0.35">
      <c r="A96" s="413" t="s">
        <v>251</v>
      </c>
      <c r="B96" s="260" t="s">
        <v>47</v>
      </c>
      <c r="C96" s="259" t="s">
        <v>276</v>
      </c>
      <c r="D96" s="461" t="s">
        <v>993</v>
      </c>
      <c r="E96" s="260" t="s">
        <v>277</v>
      </c>
      <c r="F96" s="447" t="s">
        <v>927</v>
      </c>
      <c r="G96" s="429">
        <v>4</v>
      </c>
      <c r="H96" s="430">
        <v>4</v>
      </c>
      <c r="I96" s="431">
        <v>4</v>
      </c>
      <c r="J96" s="432">
        <v>0.3</v>
      </c>
      <c r="K96" s="433">
        <v>0.35135135135135132</v>
      </c>
      <c r="L96" s="434">
        <v>0.55555555555555558</v>
      </c>
      <c r="M96" s="463">
        <v>97.291539866098589</v>
      </c>
      <c r="N96" s="420">
        <v>-97.291539866098589</v>
      </c>
      <c r="T96" s="415">
        <f t="shared" si="10"/>
        <v>1</v>
      </c>
      <c r="U96" s="416">
        <f t="shared" si="11"/>
        <v>1</v>
      </c>
      <c r="V96" s="416">
        <f t="shared" si="12"/>
        <v>1</v>
      </c>
      <c r="W96" s="417">
        <f t="shared" si="13"/>
        <v>0.18947368421052627</v>
      </c>
      <c r="X96" s="418">
        <f t="shared" si="14"/>
        <v>0.18918918918918912</v>
      </c>
      <c r="Y96" s="419">
        <f t="shared" si="15"/>
        <v>0.40740740740740744</v>
      </c>
      <c r="Z96" s="419">
        <f t="shared" si="16"/>
        <v>-7.1705954880739844E-2</v>
      </c>
      <c r="AB96" s="429">
        <f t="shared" si="18"/>
        <v>1</v>
      </c>
      <c r="AC96" s="430">
        <f t="shared" si="18"/>
        <v>1</v>
      </c>
      <c r="AD96" s="430">
        <f t="shared" si="18"/>
        <v>1</v>
      </c>
      <c r="AE96" s="432">
        <f t="shared" si="18"/>
        <v>0.18947368421052627</v>
      </c>
      <c r="AF96" s="433">
        <f t="shared" si="17"/>
        <v>0.18918918918918912</v>
      </c>
      <c r="AG96" s="434">
        <f t="shared" si="17"/>
        <v>0.40740740740740744</v>
      </c>
      <c r="AH96" s="434">
        <f t="shared" si="17"/>
        <v>0</v>
      </c>
    </row>
    <row r="97" spans="1:34" ht="33" customHeight="1" x14ac:dyDescent="0.35">
      <c r="A97" s="413" t="s">
        <v>251</v>
      </c>
      <c r="B97" s="260" t="s">
        <v>50</v>
      </c>
      <c r="C97" s="259" t="s">
        <v>278</v>
      </c>
      <c r="D97" s="260" t="s">
        <v>926</v>
      </c>
      <c r="E97" s="260" t="s">
        <v>279</v>
      </c>
      <c r="F97" s="414"/>
      <c r="G97" s="429">
        <v>0</v>
      </c>
      <c r="H97" s="430">
        <v>0</v>
      </c>
      <c r="I97" s="431">
        <v>0</v>
      </c>
      <c r="J97" s="432">
        <v>0.2</v>
      </c>
      <c r="K97" s="433">
        <v>0.13513513513513517</v>
      </c>
      <c r="L97" s="434">
        <v>0.16666666666666657</v>
      </c>
      <c r="M97" s="435">
        <v>23.154050841438639</v>
      </c>
      <c r="N97" s="420">
        <v>-23.154050841438639</v>
      </c>
      <c r="T97" s="415">
        <f t="shared" si="10"/>
        <v>0</v>
      </c>
      <c r="U97" s="416">
        <f t="shared" si="11"/>
        <v>0</v>
      </c>
      <c r="V97" s="416">
        <f t="shared" si="12"/>
        <v>0</v>
      </c>
      <c r="W97" s="417">
        <f t="shared" si="13"/>
        <v>7.3684210526315755E-2</v>
      </c>
      <c r="X97" s="418">
        <f t="shared" si="14"/>
        <v>-8.1081081081081044E-2</v>
      </c>
      <c r="Y97" s="419">
        <f t="shared" si="15"/>
        <v>-0.11111111111111123</v>
      </c>
      <c r="Z97" s="419">
        <f t="shared" si="16"/>
        <v>0.61707288416019301</v>
      </c>
      <c r="AB97" s="429">
        <f t="shared" si="18"/>
        <v>0</v>
      </c>
      <c r="AC97" s="430">
        <f t="shared" si="18"/>
        <v>0</v>
      </c>
      <c r="AD97" s="430">
        <f t="shared" si="18"/>
        <v>0</v>
      </c>
      <c r="AE97" s="432">
        <f t="shared" si="18"/>
        <v>7.3684210526315755E-2</v>
      </c>
      <c r="AF97" s="433">
        <f t="shared" si="17"/>
        <v>0</v>
      </c>
      <c r="AG97" s="434">
        <f t="shared" si="17"/>
        <v>0</v>
      </c>
      <c r="AH97" s="434">
        <f t="shared" si="17"/>
        <v>0.61707288416019301</v>
      </c>
    </row>
    <row r="98" spans="1:34" ht="33" customHeight="1" x14ac:dyDescent="0.35">
      <c r="A98" s="426" t="s">
        <v>251</v>
      </c>
      <c r="B98" s="427" t="s">
        <v>53</v>
      </c>
      <c r="C98" s="428" t="s">
        <v>280</v>
      </c>
      <c r="D98" s="461" t="s">
        <v>993</v>
      </c>
      <c r="E98" s="260" t="s">
        <v>281</v>
      </c>
      <c r="F98" s="414" t="s">
        <v>282</v>
      </c>
      <c r="G98" s="429">
        <v>4</v>
      </c>
      <c r="H98" s="430">
        <v>4</v>
      </c>
      <c r="I98" s="431">
        <v>4</v>
      </c>
      <c r="J98" s="432">
        <v>1</v>
      </c>
      <c r="K98" s="433">
        <v>1</v>
      </c>
      <c r="L98" s="434">
        <v>1</v>
      </c>
      <c r="M98" s="435">
        <v>16.589439773976157</v>
      </c>
      <c r="N98" s="420">
        <v>-16.589439773976157</v>
      </c>
      <c r="T98" s="415">
        <f t="shared" si="10"/>
        <v>1</v>
      </c>
      <c r="U98" s="416">
        <f t="shared" si="11"/>
        <v>1</v>
      </c>
      <c r="V98" s="416">
        <f t="shared" si="12"/>
        <v>1</v>
      </c>
      <c r="W98" s="417">
        <f t="shared" si="13"/>
        <v>1</v>
      </c>
      <c r="X98" s="418">
        <f t="shared" si="14"/>
        <v>1</v>
      </c>
      <c r="Y98" s="419">
        <f t="shared" si="15"/>
        <v>1</v>
      </c>
      <c r="Z98" s="419">
        <f t="shared" si="16"/>
        <v>0.67806180149860051</v>
      </c>
      <c r="AB98" s="429">
        <f t="shared" si="18"/>
        <v>1</v>
      </c>
      <c r="AC98" s="430">
        <f t="shared" si="18"/>
        <v>1</v>
      </c>
      <c r="AD98" s="430">
        <f t="shared" si="18"/>
        <v>1</v>
      </c>
      <c r="AE98" s="432">
        <f t="shared" si="18"/>
        <v>1</v>
      </c>
      <c r="AF98" s="433">
        <f t="shared" si="17"/>
        <v>1</v>
      </c>
      <c r="AG98" s="434">
        <f t="shared" si="17"/>
        <v>1</v>
      </c>
      <c r="AH98" s="434">
        <f t="shared" si="17"/>
        <v>0.67806180149860051</v>
      </c>
    </row>
    <row r="99" spans="1:34" ht="33" customHeight="1" x14ac:dyDescent="0.35">
      <c r="A99" s="413" t="s">
        <v>251</v>
      </c>
      <c r="B99" s="260" t="s">
        <v>56</v>
      </c>
      <c r="C99" s="259" t="s">
        <v>283</v>
      </c>
      <c r="D99" s="260" t="s">
        <v>918</v>
      </c>
      <c r="E99" s="260" t="s">
        <v>284</v>
      </c>
      <c r="F99" s="414"/>
      <c r="G99" s="429">
        <v>0</v>
      </c>
      <c r="H99" s="430">
        <v>0</v>
      </c>
      <c r="I99" s="431">
        <v>0</v>
      </c>
      <c r="J99" s="432">
        <v>0</v>
      </c>
      <c r="K99" s="433">
        <v>8.1081081081080975E-2</v>
      </c>
      <c r="L99" s="434">
        <v>5.5555555555555573E-2</v>
      </c>
      <c r="M99" s="435">
        <v>79.847625246756635</v>
      </c>
      <c r="N99" s="420">
        <v>-79.847625246756635</v>
      </c>
      <c r="T99" s="415">
        <f t="shared" si="10"/>
        <v>0</v>
      </c>
      <c r="U99" s="416">
        <f t="shared" si="11"/>
        <v>0</v>
      </c>
      <c r="V99" s="416">
        <f t="shared" si="12"/>
        <v>0</v>
      </c>
      <c r="W99" s="417">
        <f t="shared" si="13"/>
        <v>-0.15789473684210534</v>
      </c>
      <c r="X99" s="418">
        <f t="shared" si="14"/>
        <v>-0.1486486486486488</v>
      </c>
      <c r="Y99" s="419">
        <f t="shared" si="15"/>
        <v>-0.25925925925925924</v>
      </c>
      <c r="Z99" s="419">
        <f t="shared" si="16"/>
        <v>9.0357792056292574E-2</v>
      </c>
      <c r="AB99" s="429">
        <f t="shared" si="18"/>
        <v>0</v>
      </c>
      <c r="AC99" s="430">
        <f t="shared" si="18"/>
        <v>0</v>
      </c>
      <c r="AD99" s="430">
        <f t="shared" si="18"/>
        <v>0</v>
      </c>
      <c r="AE99" s="432">
        <f t="shared" si="18"/>
        <v>0</v>
      </c>
      <c r="AF99" s="433">
        <f t="shared" si="17"/>
        <v>0</v>
      </c>
      <c r="AG99" s="434">
        <f t="shared" si="17"/>
        <v>0</v>
      </c>
      <c r="AH99" s="434">
        <f t="shared" si="17"/>
        <v>9.0357792056292574E-2</v>
      </c>
    </row>
    <row r="100" spans="1:34" ht="33" customHeight="1" x14ac:dyDescent="0.35">
      <c r="A100" s="413" t="s">
        <v>251</v>
      </c>
      <c r="B100" s="260" t="s">
        <v>59</v>
      </c>
      <c r="C100" s="259" t="s">
        <v>285</v>
      </c>
      <c r="D100" s="260" t="s">
        <v>918</v>
      </c>
      <c r="E100" s="260" t="s">
        <v>286</v>
      </c>
      <c r="F100" s="414"/>
      <c r="G100" s="429">
        <v>1</v>
      </c>
      <c r="H100" s="430">
        <v>0</v>
      </c>
      <c r="I100" s="431">
        <v>0</v>
      </c>
      <c r="J100" s="432">
        <v>0</v>
      </c>
      <c r="K100" s="433">
        <v>8.1081081081080975E-2</v>
      </c>
      <c r="L100" s="434">
        <v>0.22222222222222215</v>
      </c>
      <c r="M100" s="435">
        <v>82.383140212306472</v>
      </c>
      <c r="N100" s="420">
        <v>-82.383140212306472</v>
      </c>
      <c r="T100" s="415">
        <f t="shared" si="10"/>
        <v>0.25</v>
      </c>
      <c r="U100" s="416">
        <f t="shared" si="11"/>
        <v>0</v>
      </c>
      <c r="V100" s="416">
        <f t="shared" si="12"/>
        <v>0</v>
      </c>
      <c r="W100" s="417">
        <f t="shared" si="13"/>
        <v>-0.15789473684210534</v>
      </c>
      <c r="X100" s="418">
        <f t="shared" si="14"/>
        <v>-0.1486486486486488</v>
      </c>
      <c r="Y100" s="419">
        <f t="shared" si="15"/>
        <v>-3.7037037037037125E-2</v>
      </c>
      <c r="Z100" s="419">
        <f t="shared" si="16"/>
        <v>6.6801436461872199E-2</v>
      </c>
      <c r="AB100" s="429">
        <f t="shared" si="18"/>
        <v>0.25</v>
      </c>
      <c r="AC100" s="430">
        <f t="shared" si="18"/>
        <v>0</v>
      </c>
      <c r="AD100" s="430">
        <f t="shared" si="18"/>
        <v>0</v>
      </c>
      <c r="AE100" s="432">
        <f t="shared" si="18"/>
        <v>0</v>
      </c>
      <c r="AF100" s="433">
        <f t="shared" si="17"/>
        <v>0</v>
      </c>
      <c r="AG100" s="434">
        <f t="shared" si="17"/>
        <v>0</v>
      </c>
      <c r="AH100" s="434">
        <f t="shared" si="17"/>
        <v>6.6801436461872199E-2</v>
      </c>
    </row>
    <row r="101" spans="1:34" ht="33" customHeight="1" x14ac:dyDescent="0.35">
      <c r="A101" s="413" t="s">
        <v>251</v>
      </c>
      <c r="B101" s="260" t="s">
        <v>62</v>
      </c>
      <c r="C101" s="259" t="s">
        <v>287</v>
      </c>
      <c r="D101" s="260" t="s">
        <v>918</v>
      </c>
      <c r="E101" s="260" t="s">
        <v>288</v>
      </c>
      <c r="F101" s="414"/>
      <c r="G101" s="429">
        <v>0</v>
      </c>
      <c r="H101" s="430">
        <v>0</v>
      </c>
      <c r="I101" s="431">
        <v>0</v>
      </c>
      <c r="J101" s="432">
        <v>0.05</v>
      </c>
      <c r="K101" s="433">
        <v>2.7027027027026945E-2</v>
      </c>
      <c r="L101" s="434">
        <v>0.11111111111111115</v>
      </c>
      <c r="M101" s="435">
        <v>63.986918997677819</v>
      </c>
      <c r="N101" s="420">
        <v>-63.986918997677819</v>
      </c>
      <c r="T101" s="415">
        <f t="shared" si="10"/>
        <v>0</v>
      </c>
      <c r="U101" s="416">
        <f t="shared" si="11"/>
        <v>0</v>
      </c>
      <c r="V101" s="416">
        <f t="shared" si="12"/>
        <v>0</v>
      </c>
      <c r="W101" s="417">
        <f t="shared" si="13"/>
        <v>-0.10000000000000006</v>
      </c>
      <c r="X101" s="418">
        <f t="shared" si="14"/>
        <v>-0.21621621621621631</v>
      </c>
      <c r="Y101" s="419">
        <f t="shared" si="15"/>
        <v>-0.18518518518518512</v>
      </c>
      <c r="Z101" s="419">
        <f t="shared" si="16"/>
        <v>0.23771264559032601</v>
      </c>
      <c r="AB101" s="429">
        <f t="shared" si="18"/>
        <v>0</v>
      </c>
      <c r="AC101" s="430">
        <f t="shared" si="18"/>
        <v>0</v>
      </c>
      <c r="AD101" s="430">
        <f t="shared" si="18"/>
        <v>0</v>
      </c>
      <c r="AE101" s="432">
        <f t="shared" si="18"/>
        <v>0</v>
      </c>
      <c r="AF101" s="433">
        <f t="shared" si="17"/>
        <v>0</v>
      </c>
      <c r="AG101" s="434">
        <f t="shared" si="17"/>
        <v>0</v>
      </c>
      <c r="AH101" s="434">
        <f t="shared" si="17"/>
        <v>0.23771264559032601</v>
      </c>
    </row>
    <row r="102" spans="1:34" ht="33" customHeight="1" x14ac:dyDescent="0.35">
      <c r="A102" s="413" t="s">
        <v>251</v>
      </c>
      <c r="B102" s="260" t="s">
        <v>65</v>
      </c>
      <c r="C102" s="259" t="s">
        <v>289</v>
      </c>
      <c r="D102" s="260" t="s">
        <v>918</v>
      </c>
      <c r="E102" s="260" t="s">
        <v>290</v>
      </c>
      <c r="F102" s="414"/>
      <c r="G102" s="429">
        <v>0</v>
      </c>
      <c r="H102" s="430">
        <v>0</v>
      </c>
      <c r="I102" s="431">
        <v>1</v>
      </c>
      <c r="J102" s="432">
        <v>0.1</v>
      </c>
      <c r="K102" s="433">
        <v>8.1081081081080975E-2</v>
      </c>
      <c r="L102" s="434">
        <v>0.11111111111111115</v>
      </c>
      <c r="M102" s="435">
        <v>61.8325204339435</v>
      </c>
      <c r="N102" s="420">
        <v>-61.8325204339435</v>
      </c>
      <c r="T102" s="415">
        <f t="shared" si="10"/>
        <v>0</v>
      </c>
      <c r="U102" s="416">
        <f t="shared" si="11"/>
        <v>0</v>
      </c>
      <c r="V102" s="416">
        <f t="shared" si="12"/>
        <v>0.25</v>
      </c>
      <c r="W102" s="417">
        <f t="shared" si="13"/>
        <v>-4.2105263157894784E-2</v>
      </c>
      <c r="X102" s="418">
        <f t="shared" si="14"/>
        <v>-0.1486486486486488</v>
      </c>
      <c r="Y102" s="419">
        <f t="shared" si="15"/>
        <v>-0.18518518518518512</v>
      </c>
      <c r="Z102" s="419">
        <f t="shared" si="16"/>
        <v>0.25772821613476127</v>
      </c>
      <c r="AB102" s="429">
        <f t="shared" si="18"/>
        <v>0</v>
      </c>
      <c r="AC102" s="430">
        <f t="shared" si="18"/>
        <v>0</v>
      </c>
      <c r="AD102" s="430">
        <f t="shared" si="18"/>
        <v>0.25</v>
      </c>
      <c r="AE102" s="432">
        <f t="shared" si="18"/>
        <v>0</v>
      </c>
      <c r="AF102" s="433">
        <f t="shared" si="17"/>
        <v>0</v>
      </c>
      <c r="AG102" s="434">
        <f t="shared" si="17"/>
        <v>0</v>
      </c>
      <c r="AH102" s="434">
        <f t="shared" si="17"/>
        <v>0.25772821613476127</v>
      </c>
    </row>
    <row r="103" spans="1:34" ht="33" customHeight="1" x14ac:dyDescent="0.35">
      <c r="A103" s="413" t="s">
        <v>251</v>
      </c>
      <c r="B103" s="260" t="s">
        <v>68</v>
      </c>
      <c r="C103" s="259" t="s">
        <v>291</v>
      </c>
      <c r="D103" s="260" t="s">
        <v>918</v>
      </c>
      <c r="E103" s="260" t="s">
        <v>292</v>
      </c>
      <c r="F103" s="414" t="s">
        <v>949</v>
      </c>
      <c r="G103" s="429">
        <v>0</v>
      </c>
      <c r="H103" s="430">
        <v>0</v>
      </c>
      <c r="I103" s="431">
        <v>0</v>
      </c>
      <c r="J103" s="432">
        <v>0.05</v>
      </c>
      <c r="K103" s="433">
        <v>2.7027027027026945E-2</v>
      </c>
      <c r="L103" s="434">
        <v>0.11111111111111115</v>
      </c>
      <c r="M103" s="435">
        <v>79.479999947776406</v>
      </c>
      <c r="N103" s="420">
        <v>-79.479999947776406</v>
      </c>
      <c r="T103" s="415">
        <f t="shared" si="10"/>
        <v>0</v>
      </c>
      <c r="U103" s="416">
        <f t="shared" si="11"/>
        <v>0</v>
      </c>
      <c r="V103" s="416">
        <f t="shared" si="12"/>
        <v>0</v>
      </c>
      <c r="W103" s="417">
        <f t="shared" si="13"/>
        <v>-0.10000000000000006</v>
      </c>
      <c r="X103" s="418">
        <f t="shared" si="14"/>
        <v>-0.21621621621621631</v>
      </c>
      <c r="Y103" s="419">
        <f t="shared" si="15"/>
        <v>-0.18518518518518512</v>
      </c>
      <c r="Z103" s="419">
        <f t="shared" si="16"/>
        <v>9.3773237197002063E-2</v>
      </c>
      <c r="AB103" s="429">
        <f t="shared" si="18"/>
        <v>0</v>
      </c>
      <c r="AC103" s="430">
        <f t="shared" si="18"/>
        <v>0</v>
      </c>
      <c r="AD103" s="430">
        <f t="shared" si="18"/>
        <v>0</v>
      </c>
      <c r="AE103" s="432">
        <f t="shared" si="18"/>
        <v>0</v>
      </c>
      <c r="AF103" s="433">
        <f t="shared" si="17"/>
        <v>0</v>
      </c>
      <c r="AG103" s="434">
        <f t="shared" si="17"/>
        <v>0</v>
      </c>
      <c r="AH103" s="434">
        <f t="shared" si="17"/>
        <v>9.3773237197002063E-2</v>
      </c>
    </row>
    <row r="104" spans="1:34" ht="33" customHeight="1" x14ac:dyDescent="0.35">
      <c r="A104" s="413" t="s">
        <v>251</v>
      </c>
      <c r="B104" s="260" t="s">
        <v>71</v>
      </c>
      <c r="C104" s="259" t="s">
        <v>293</v>
      </c>
      <c r="D104" s="260" t="s">
        <v>919</v>
      </c>
      <c r="E104" s="260" t="s">
        <v>294</v>
      </c>
      <c r="F104" s="414"/>
      <c r="G104" s="429">
        <v>2</v>
      </c>
      <c r="H104" s="430">
        <v>0</v>
      </c>
      <c r="I104" s="431">
        <v>0</v>
      </c>
      <c r="J104" s="432">
        <v>0.35</v>
      </c>
      <c r="K104" s="433">
        <v>0.56756756756756754</v>
      </c>
      <c r="L104" s="434">
        <v>0.66666666666666674</v>
      </c>
      <c r="M104" s="435">
        <v>31.0287350335798</v>
      </c>
      <c r="N104" s="420">
        <v>-31.0287350335798</v>
      </c>
      <c r="T104" s="415">
        <f t="shared" si="10"/>
        <v>0.5</v>
      </c>
      <c r="U104" s="416">
        <f t="shared" si="11"/>
        <v>0</v>
      </c>
      <c r="V104" s="416">
        <f t="shared" si="12"/>
        <v>0</v>
      </c>
      <c r="W104" s="417">
        <f t="shared" si="13"/>
        <v>0.24736842105263154</v>
      </c>
      <c r="X104" s="418">
        <f t="shared" si="14"/>
        <v>0.45945945945945937</v>
      </c>
      <c r="Y104" s="419">
        <f t="shared" si="15"/>
        <v>0.55555555555555569</v>
      </c>
      <c r="Z104" s="419">
        <f t="shared" si="16"/>
        <v>0.54391265298655778</v>
      </c>
      <c r="AB104" s="429">
        <f t="shared" si="18"/>
        <v>0.5</v>
      </c>
      <c r="AC104" s="430">
        <f t="shared" si="18"/>
        <v>0</v>
      </c>
      <c r="AD104" s="430">
        <f t="shared" si="18"/>
        <v>0</v>
      </c>
      <c r="AE104" s="432">
        <f t="shared" si="18"/>
        <v>0.24736842105263154</v>
      </c>
      <c r="AF104" s="433">
        <f t="shared" si="17"/>
        <v>0.45945945945945937</v>
      </c>
      <c r="AG104" s="434">
        <f t="shared" si="17"/>
        <v>0.55555555555555569</v>
      </c>
      <c r="AH104" s="434">
        <f t="shared" si="17"/>
        <v>0.54391265298655778</v>
      </c>
    </row>
    <row r="105" spans="1:34" ht="33" customHeight="1" x14ac:dyDescent="0.35">
      <c r="A105" s="413" t="s">
        <v>251</v>
      </c>
      <c r="B105" s="260" t="s">
        <v>74</v>
      </c>
      <c r="C105" s="259" t="s">
        <v>295</v>
      </c>
      <c r="D105" s="260" t="s">
        <v>919</v>
      </c>
      <c r="E105" s="260" t="s">
        <v>296</v>
      </c>
      <c r="F105" s="414"/>
      <c r="G105" s="429">
        <v>0</v>
      </c>
      <c r="H105" s="430">
        <v>0</v>
      </c>
      <c r="I105" s="431">
        <v>0</v>
      </c>
      <c r="J105" s="432">
        <v>0.15</v>
      </c>
      <c r="K105" s="433">
        <v>0.24324324324324323</v>
      </c>
      <c r="L105" s="434">
        <v>0.27777777777777785</v>
      </c>
      <c r="M105" s="435">
        <v>97.444375312616458</v>
      </c>
      <c r="N105" s="420">
        <v>-97.444375312616458</v>
      </c>
      <c r="T105" s="415">
        <f t="shared" si="10"/>
        <v>0</v>
      </c>
      <c r="U105" s="416">
        <f t="shared" si="11"/>
        <v>0</v>
      </c>
      <c r="V105" s="416">
        <f t="shared" si="12"/>
        <v>0</v>
      </c>
      <c r="W105" s="417">
        <f t="shared" si="13"/>
        <v>1.5789473684210468E-2</v>
      </c>
      <c r="X105" s="418">
        <f t="shared" si="14"/>
        <v>5.4054054054054022E-2</v>
      </c>
      <c r="Y105" s="419">
        <f t="shared" si="15"/>
        <v>3.7037037037037125E-2</v>
      </c>
      <c r="Z105" s="419">
        <f t="shared" si="16"/>
        <v>-7.3125881867771539E-2</v>
      </c>
      <c r="AB105" s="429">
        <f t="shared" si="18"/>
        <v>0</v>
      </c>
      <c r="AC105" s="430">
        <f t="shared" si="18"/>
        <v>0</v>
      </c>
      <c r="AD105" s="430">
        <f t="shared" si="18"/>
        <v>0</v>
      </c>
      <c r="AE105" s="432">
        <f t="shared" si="18"/>
        <v>1.5789473684210468E-2</v>
      </c>
      <c r="AF105" s="433">
        <f t="shared" si="17"/>
        <v>5.4054054054054022E-2</v>
      </c>
      <c r="AG105" s="434">
        <f t="shared" si="17"/>
        <v>3.7037037037037125E-2</v>
      </c>
      <c r="AH105" s="434">
        <f t="shared" si="17"/>
        <v>0</v>
      </c>
    </row>
    <row r="106" spans="1:34" ht="33" customHeight="1" x14ac:dyDescent="0.35">
      <c r="A106" s="413" t="s">
        <v>251</v>
      </c>
      <c r="B106" s="260" t="s">
        <v>77</v>
      </c>
      <c r="C106" s="259" t="s">
        <v>297</v>
      </c>
      <c r="D106" s="462" t="s">
        <v>915</v>
      </c>
      <c r="E106" s="260" t="s">
        <v>298</v>
      </c>
      <c r="F106" s="414"/>
      <c r="G106" s="429">
        <v>4</v>
      </c>
      <c r="H106" s="430">
        <v>4</v>
      </c>
      <c r="I106" s="431">
        <v>4</v>
      </c>
      <c r="J106" s="432">
        <v>0.44999999999999996</v>
      </c>
      <c r="K106" s="433">
        <v>0.67567567567567566</v>
      </c>
      <c r="L106" s="434">
        <v>0.94444444444444442</v>
      </c>
      <c r="M106" s="463">
        <v>71.850273889227026</v>
      </c>
      <c r="N106" s="420">
        <v>-71.850273889227026</v>
      </c>
      <c r="T106" s="415">
        <f t="shared" si="10"/>
        <v>1</v>
      </c>
      <c r="U106" s="416">
        <f t="shared" si="11"/>
        <v>1</v>
      </c>
      <c r="V106" s="416">
        <f t="shared" si="12"/>
        <v>1</v>
      </c>
      <c r="W106" s="417">
        <f t="shared" si="13"/>
        <v>0.36315789473684207</v>
      </c>
      <c r="X106" s="418">
        <f t="shared" si="14"/>
        <v>0.59459459459459452</v>
      </c>
      <c r="Y106" s="419">
        <f t="shared" si="15"/>
        <v>0.92592592592592593</v>
      </c>
      <c r="Z106" s="419">
        <f t="shared" si="16"/>
        <v>0.16465766997108738</v>
      </c>
      <c r="AB106" s="429">
        <f t="shared" si="18"/>
        <v>1</v>
      </c>
      <c r="AC106" s="430">
        <f t="shared" si="18"/>
        <v>1</v>
      </c>
      <c r="AD106" s="430">
        <f t="shared" si="18"/>
        <v>1</v>
      </c>
      <c r="AE106" s="432">
        <f t="shared" si="18"/>
        <v>0.36315789473684207</v>
      </c>
      <c r="AF106" s="433">
        <f t="shared" si="17"/>
        <v>0.59459459459459452</v>
      </c>
      <c r="AG106" s="434">
        <f t="shared" si="17"/>
        <v>0.92592592592592593</v>
      </c>
      <c r="AH106" s="434">
        <f t="shared" si="17"/>
        <v>0.16465766997108738</v>
      </c>
    </row>
    <row r="107" spans="1:34" ht="33" customHeight="1" x14ac:dyDescent="0.35">
      <c r="A107" s="413" t="s">
        <v>251</v>
      </c>
      <c r="B107" s="260" t="s">
        <v>80</v>
      </c>
      <c r="C107" s="259" t="s">
        <v>299</v>
      </c>
      <c r="D107" s="461" t="s">
        <v>993</v>
      </c>
      <c r="E107" s="260" t="s">
        <v>300</v>
      </c>
      <c r="F107" s="414" t="s">
        <v>952</v>
      </c>
      <c r="G107" s="429">
        <v>0</v>
      </c>
      <c r="H107" s="430">
        <v>0</v>
      </c>
      <c r="I107" s="431">
        <v>0</v>
      </c>
      <c r="J107" s="432">
        <v>0.15</v>
      </c>
      <c r="K107" s="433">
        <v>0.13513513513513517</v>
      </c>
      <c r="L107" s="434">
        <v>0.22222222222222215</v>
      </c>
      <c r="M107" s="435">
        <v>87.077101072441138</v>
      </c>
      <c r="N107" s="420">
        <v>-87.077101072441138</v>
      </c>
      <c r="T107" s="415">
        <f t="shared" si="10"/>
        <v>0</v>
      </c>
      <c r="U107" s="416">
        <f t="shared" si="11"/>
        <v>0</v>
      </c>
      <c r="V107" s="416">
        <f t="shared" si="12"/>
        <v>0</v>
      </c>
      <c r="W107" s="417">
        <f t="shared" si="13"/>
        <v>1.5789473684210468E-2</v>
      </c>
      <c r="X107" s="418">
        <f t="shared" si="14"/>
        <v>-8.1081081081081044E-2</v>
      </c>
      <c r="Y107" s="419">
        <f t="shared" si="15"/>
        <v>-3.7037037037037125E-2</v>
      </c>
      <c r="Z107" s="419">
        <f t="shared" si="16"/>
        <v>2.3191908350234564E-2</v>
      </c>
      <c r="AB107" s="429">
        <f t="shared" si="18"/>
        <v>0</v>
      </c>
      <c r="AC107" s="430">
        <f t="shared" si="18"/>
        <v>0</v>
      </c>
      <c r="AD107" s="430">
        <f t="shared" si="18"/>
        <v>0</v>
      </c>
      <c r="AE107" s="432">
        <f t="shared" si="18"/>
        <v>1.5789473684210468E-2</v>
      </c>
      <c r="AF107" s="433">
        <f t="shared" si="17"/>
        <v>0</v>
      </c>
      <c r="AG107" s="434">
        <f t="shared" si="17"/>
        <v>0</v>
      </c>
      <c r="AH107" s="434">
        <f t="shared" si="17"/>
        <v>2.3191908350234564E-2</v>
      </c>
    </row>
    <row r="108" spans="1:34" ht="33" customHeight="1" x14ac:dyDescent="0.35">
      <c r="A108" s="413" t="s">
        <v>251</v>
      </c>
      <c r="B108" s="260" t="s">
        <v>83</v>
      </c>
      <c r="C108" s="259" t="s">
        <v>301</v>
      </c>
      <c r="D108" s="260" t="s">
        <v>925</v>
      </c>
      <c r="E108" s="260" t="s">
        <v>302</v>
      </c>
      <c r="F108" s="414" t="s">
        <v>941</v>
      </c>
      <c r="G108" s="429">
        <v>2</v>
      </c>
      <c r="H108" s="430">
        <v>0</v>
      </c>
      <c r="I108" s="431">
        <v>0</v>
      </c>
      <c r="J108" s="432">
        <v>0.15</v>
      </c>
      <c r="K108" s="433">
        <v>0.1891891891891892</v>
      </c>
      <c r="L108" s="434">
        <v>0.11111111111111115</v>
      </c>
      <c r="M108" s="435">
        <v>63.203622665749087</v>
      </c>
      <c r="N108" s="420">
        <v>-63.203622665749087</v>
      </c>
      <c r="T108" s="415">
        <f t="shared" si="10"/>
        <v>0.5</v>
      </c>
      <c r="U108" s="416">
        <f t="shared" si="11"/>
        <v>0</v>
      </c>
      <c r="V108" s="416">
        <f t="shared" si="12"/>
        <v>0</v>
      </c>
      <c r="W108" s="417">
        <f t="shared" si="13"/>
        <v>1.5789473684210468E-2</v>
      </c>
      <c r="X108" s="418">
        <f t="shared" si="14"/>
        <v>-1.3513513513513514E-2</v>
      </c>
      <c r="Y108" s="419">
        <f t="shared" si="15"/>
        <v>-0.18518518518518512</v>
      </c>
      <c r="Z108" s="419">
        <f t="shared" si="16"/>
        <v>0.2449899076776815</v>
      </c>
      <c r="AB108" s="429">
        <f t="shared" si="18"/>
        <v>0.5</v>
      </c>
      <c r="AC108" s="430">
        <f t="shared" si="18"/>
        <v>0</v>
      </c>
      <c r="AD108" s="430">
        <f t="shared" si="18"/>
        <v>0</v>
      </c>
      <c r="AE108" s="432">
        <f t="shared" si="18"/>
        <v>1.5789473684210468E-2</v>
      </c>
      <c r="AF108" s="433">
        <f t="shared" si="17"/>
        <v>0</v>
      </c>
      <c r="AG108" s="434">
        <f t="shared" si="17"/>
        <v>0</v>
      </c>
      <c r="AH108" s="434">
        <f t="shared" si="17"/>
        <v>0.2449899076776815</v>
      </c>
    </row>
    <row r="109" spans="1:34" ht="33" customHeight="1" x14ac:dyDescent="0.35">
      <c r="A109" s="413" t="s">
        <v>251</v>
      </c>
      <c r="B109" s="260" t="s">
        <v>86</v>
      </c>
      <c r="C109" s="259" t="s">
        <v>303</v>
      </c>
      <c r="D109" s="260" t="s">
        <v>918</v>
      </c>
      <c r="E109" s="260" t="s">
        <v>304</v>
      </c>
      <c r="F109" s="414"/>
      <c r="G109" s="429">
        <v>0</v>
      </c>
      <c r="H109" s="430">
        <v>0</v>
      </c>
      <c r="I109" s="431">
        <v>0</v>
      </c>
      <c r="J109" s="432">
        <v>0.1</v>
      </c>
      <c r="K109" s="433">
        <v>0.13513513513513517</v>
      </c>
      <c r="L109" s="434">
        <v>0.11111111111111115</v>
      </c>
      <c r="M109" s="435">
        <v>73.417809155149456</v>
      </c>
      <c r="N109" s="420">
        <v>-73.417809155149456</v>
      </c>
      <c r="T109" s="415">
        <f t="shared" si="10"/>
        <v>0</v>
      </c>
      <c r="U109" s="416">
        <f t="shared" si="11"/>
        <v>0</v>
      </c>
      <c r="V109" s="416">
        <f t="shared" si="12"/>
        <v>0</v>
      </c>
      <c r="W109" s="417">
        <f t="shared" si="13"/>
        <v>-4.2105263157894784E-2</v>
      </c>
      <c r="X109" s="418">
        <f t="shared" si="14"/>
        <v>-8.1081081081081044E-2</v>
      </c>
      <c r="Y109" s="419">
        <f t="shared" si="15"/>
        <v>-0.18518518518518512</v>
      </c>
      <c r="Z109" s="419">
        <f t="shared" si="16"/>
        <v>0.15009438849471254</v>
      </c>
      <c r="AB109" s="429">
        <f t="shared" si="18"/>
        <v>0</v>
      </c>
      <c r="AC109" s="430">
        <f t="shared" si="18"/>
        <v>0</v>
      </c>
      <c r="AD109" s="430">
        <f t="shared" si="18"/>
        <v>0</v>
      </c>
      <c r="AE109" s="432">
        <f t="shared" si="18"/>
        <v>0</v>
      </c>
      <c r="AF109" s="433">
        <f t="shared" si="17"/>
        <v>0</v>
      </c>
      <c r="AG109" s="434">
        <f t="shared" si="17"/>
        <v>0</v>
      </c>
      <c r="AH109" s="434">
        <f t="shared" si="17"/>
        <v>0.15009438849471254</v>
      </c>
    </row>
    <row r="110" spans="1:34" ht="33" customHeight="1" x14ac:dyDescent="0.35">
      <c r="A110" s="413" t="s">
        <v>251</v>
      </c>
      <c r="B110" s="260" t="s">
        <v>89</v>
      </c>
      <c r="C110" s="259" t="s">
        <v>305</v>
      </c>
      <c r="D110" s="260" t="s">
        <v>918</v>
      </c>
      <c r="E110" s="260" t="s">
        <v>306</v>
      </c>
      <c r="F110" s="414"/>
      <c r="G110" s="429">
        <v>0</v>
      </c>
      <c r="H110" s="430">
        <v>0</v>
      </c>
      <c r="I110" s="431">
        <v>0</v>
      </c>
      <c r="J110" s="432">
        <v>0.2</v>
      </c>
      <c r="K110" s="433">
        <v>0.35135135135135132</v>
      </c>
      <c r="L110" s="434">
        <v>0.38888888888888884</v>
      </c>
      <c r="M110" s="435">
        <v>78.381925722920059</v>
      </c>
      <c r="N110" s="420">
        <v>-78.381925722920059</v>
      </c>
      <c r="T110" s="415">
        <f t="shared" si="10"/>
        <v>0</v>
      </c>
      <c r="U110" s="416">
        <f t="shared" si="11"/>
        <v>0</v>
      </c>
      <c r="V110" s="416">
        <f t="shared" si="12"/>
        <v>0</v>
      </c>
      <c r="W110" s="417">
        <f t="shared" si="13"/>
        <v>7.3684210526315755E-2</v>
      </c>
      <c r="X110" s="418">
        <f t="shared" si="14"/>
        <v>0.18918918918918912</v>
      </c>
      <c r="Y110" s="419">
        <f t="shared" si="15"/>
        <v>0.18518518518518512</v>
      </c>
      <c r="Z110" s="419">
        <f t="shared" si="16"/>
        <v>0.10397496239335655</v>
      </c>
      <c r="AB110" s="429">
        <f t="shared" si="18"/>
        <v>0</v>
      </c>
      <c r="AC110" s="430">
        <f t="shared" si="18"/>
        <v>0</v>
      </c>
      <c r="AD110" s="430">
        <f t="shared" si="18"/>
        <v>0</v>
      </c>
      <c r="AE110" s="432">
        <f t="shared" si="18"/>
        <v>7.3684210526315755E-2</v>
      </c>
      <c r="AF110" s="433">
        <f t="shared" si="17"/>
        <v>0.18918918918918912</v>
      </c>
      <c r="AG110" s="434">
        <f t="shared" si="17"/>
        <v>0.18518518518518512</v>
      </c>
      <c r="AH110" s="434">
        <f t="shared" si="17"/>
        <v>0.10397496239335655</v>
      </c>
    </row>
    <row r="111" spans="1:34" ht="33" customHeight="1" x14ac:dyDescent="0.35">
      <c r="A111" s="413" t="s">
        <v>251</v>
      </c>
      <c r="B111" s="260" t="s">
        <v>92</v>
      </c>
      <c r="C111" s="259" t="s">
        <v>307</v>
      </c>
      <c r="D111" s="260" t="s">
        <v>918</v>
      </c>
      <c r="E111" s="260" t="s">
        <v>308</v>
      </c>
      <c r="F111" s="414"/>
      <c r="G111" s="429">
        <v>0</v>
      </c>
      <c r="H111" s="430">
        <v>0</v>
      </c>
      <c r="I111" s="431">
        <v>0</v>
      </c>
      <c r="J111" s="432">
        <v>0.2</v>
      </c>
      <c r="K111" s="433">
        <v>0.45945945945945943</v>
      </c>
      <c r="L111" s="434">
        <v>0.66666666666666674</v>
      </c>
      <c r="M111" s="435">
        <v>38.350835258837677</v>
      </c>
      <c r="N111" s="420">
        <v>-38.350835258837677</v>
      </c>
      <c r="T111" s="415">
        <f t="shared" si="10"/>
        <v>0</v>
      </c>
      <c r="U111" s="416">
        <f t="shared" si="11"/>
        <v>0</v>
      </c>
      <c r="V111" s="416">
        <f t="shared" si="12"/>
        <v>0</v>
      </c>
      <c r="W111" s="417">
        <f t="shared" si="13"/>
        <v>7.3684210526315755E-2</v>
      </c>
      <c r="X111" s="418">
        <f t="shared" si="14"/>
        <v>0.32432432432432423</v>
      </c>
      <c r="Y111" s="419">
        <f t="shared" si="15"/>
        <v>0.55555555555555569</v>
      </c>
      <c r="Z111" s="419">
        <f t="shared" si="16"/>
        <v>0.47588623667757074</v>
      </c>
      <c r="AB111" s="429">
        <f t="shared" si="18"/>
        <v>0</v>
      </c>
      <c r="AC111" s="430">
        <f t="shared" si="18"/>
        <v>0</v>
      </c>
      <c r="AD111" s="430">
        <f t="shared" si="18"/>
        <v>0</v>
      </c>
      <c r="AE111" s="432">
        <f t="shared" si="18"/>
        <v>7.3684210526315755E-2</v>
      </c>
      <c r="AF111" s="433">
        <f t="shared" si="17"/>
        <v>0.32432432432432423</v>
      </c>
      <c r="AG111" s="434">
        <f t="shared" si="17"/>
        <v>0.55555555555555569</v>
      </c>
      <c r="AH111" s="434">
        <f t="shared" si="17"/>
        <v>0.47588623667757074</v>
      </c>
    </row>
    <row r="112" spans="1:34" ht="33" customHeight="1" x14ac:dyDescent="0.35">
      <c r="A112" s="413" t="s">
        <v>251</v>
      </c>
      <c r="B112" s="260" t="s">
        <v>95</v>
      </c>
      <c r="C112" s="259" t="s">
        <v>309</v>
      </c>
      <c r="D112" s="260" t="s">
        <v>918</v>
      </c>
      <c r="E112" s="260" t="s">
        <v>310</v>
      </c>
      <c r="F112" s="414"/>
      <c r="G112" s="429">
        <v>1</v>
      </c>
      <c r="H112" s="430">
        <v>0</v>
      </c>
      <c r="I112" s="431">
        <v>0</v>
      </c>
      <c r="J112" s="432">
        <v>0.05</v>
      </c>
      <c r="K112" s="433">
        <v>2.7027027027026945E-2</v>
      </c>
      <c r="L112" s="434">
        <v>0.11111111111111115</v>
      </c>
      <c r="M112" s="435">
        <v>87.8892654631249</v>
      </c>
      <c r="N112" s="420">
        <v>-87.8892654631249</v>
      </c>
      <c r="T112" s="415">
        <f t="shared" si="10"/>
        <v>0.25</v>
      </c>
      <c r="U112" s="416">
        <f t="shared" si="11"/>
        <v>0</v>
      </c>
      <c r="V112" s="416">
        <f t="shared" si="12"/>
        <v>0</v>
      </c>
      <c r="W112" s="417">
        <f t="shared" si="13"/>
        <v>-0.10000000000000006</v>
      </c>
      <c r="X112" s="418">
        <f t="shared" si="14"/>
        <v>-0.21621621621621631</v>
      </c>
      <c r="Y112" s="419">
        <f t="shared" si="15"/>
        <v>-0.18518518518518512</v>
      </c>
      <c r="Z112" s="419">
        <f t="shared" si="16"/>
        <v>1.5646445811848923E-2</v>
      </c>
      <c r="AB112" s="429">
        <f t="shared" si="18"/>
        <v>0.25</v>
      </c>
      <c r="AC112" s="430">
        <f t="shared" si="18"/>
        <v>0</v>
      </c>
      <c r="AD112" s="430">
        <f t="shared" si="18"/>
        <v>0</v>
      </c>
      <c r="AE112" s="432">
        <f t="shared" si="18"/>
        <v>0</v>
      </c>
      <c r="AF112" s="433">
        <f t="shared" si="17"/>
        <v>0</v>
      </c>
      <c r="AG112" s="434">
        <f t="shared" si="17"/>
        <v>0</v>
      </c>
      <c r="AH112" s="434">
        <f t="shared" si="17"/>
        <v>1.5646445811848923E-2</v>
      </c>
    </row>
    <row r="113" spans="1:34" ht="33" customHeight="1" x14ac:dyDescent="0.35">
      <c r="A113" s="426" t="s">
        <v>251</v>
      </c>
      <c r="B113" s="427" t="s">
        <v>98</v>
      </c>
      <c r="C113" s="428" t="s">
        <v>311</v>
      </c>
      <c r="D113" s="462" t="s">
        <v>915</v>
      </c>
      <c r="E113" s="260" t="s">
        <v>312</v>
      </c>
      <c r="F113" s="414"/>
      <c r="G113" s="429">
        <v>4</v>
      </c>
      <c r="H113" s="430">
        <v>4</v>
      </c>
      <c r="I113" s="431">
        <v>4</v>
      </c>
      <c r="J113" s="432">
        <v>1</v>
      </c>
      <c r="K113" s="433">
        <v>1</v>
      </c>
      <c r="L113" s="434">
        <v>1</v>
      </c>
      <c r="M113" s="435">
        <v>-5.8286822877196869</v>
      </c>
      <c r="N113" s="420">
        <v>5.8286822877196869</v>
      </c>
      <c r="T113" s="415">
        <f t="shared" si="10"/>
        <v>1</v>
      </c>
      <c r="U113" s="416">
        <f t="shared" si="11"/>
        <v>1</v>
      </c>
      <c r="V113" s="416">
        <f t="shared" si="12"/>
        <v>1</v>
      </c>
      <c r="W113" s="417">
        <f t="shared" si="13"/>
        <v>1</v>
      </c>
      <c r="X113" s="418">
        <f t="shared" si="14"/>
        <v>1</v>
      </c>
      <c r="Y113" s="419">
        <f t="shared" si="15"/>
        <v>1</v>
      </c>
      <c r="Z113" s="419">
        <f t="shared" si="16"/>
        <v>0.88633872441942785</v>
      </c>
      <c r="AB113" s="429">
        <f t="shared" si="18"/>
        <v>1</v>
      </c>
      <c r="AC113" s="430">
        <f t="shared" si="18"/>
        <v>1</v>
      </c>
      <c r="AD113" s="430">
        <f t="shared" si="18"/>
        <v>1</v>
      </c>
      <c r="AE113" s="432">
        <f t="shared" si="18"/>
        <v>1</v>
      </c>
      <c r="AF113" s="433">
        <f t="shared" si="17"/>
        <v>1</v>
      </c>
      <c r="AG113" s="434">
        <f t="shared" si="17"/>
        <v>1</v>
      </c>
      <c r="AH113" s="434">
        <f t="shared" si="17"/>
        <v>0.88633872441942785</v>
      </c>
    </row>
    <row r="114" spans="1:34" ht="33" customHeight="1" x14ac:dyDescent="0.35">
      <c r="A114" s="413" t="s">
        <v>251</v>
      </c>
      <c r="B114" s="260" t="s">
        <v>101</v>
      </c>
      <c r="C114" s="259" t="s">
        <v>313</v>
      </c>
      <c r="D114" s="260" t="s">
        <v>918</v>
      </c>
      <c r="E114" s="260" t="s">
        <v>314</v>
      </c>
      <c r="F114" s="414"/>
      <c r="G114" s="429">
        <v>0</v>
      </c>
      <c r="H114" s="430">
        <v>0</v>
      </c>
      <c r="I114" s="431">
        <v>0</v>
      </c>
      <c r="J114" s="432">
        <v>0.35</v>
      </c>
      <c r="K114" s="433">
        <v>0.45945945945945943</v>
      </c>
      <c r="L114" s="434">
        <v>0.5</v>
      </c>
      <c r="M114" s="435">
        <v>83.472423460476577</v>
      </c>
      <c r="N114" s="420">
        <v>-83.472423460476577</v>
      </c>
      <c r="T114" s="415">
        <f t="shared" si="10"/>
        <v>0</v>
      </c>
      <c r="U114" s="416">
        <f t="shared" si="11"/>
        <v>0</v>
      </c>
      <c r="V114" s="416">
        <f t="shared" si="12"/>
        <v>0</v>
      </c>
      <c r="W114" s="417">
        <f t="shared" si="13"/>
        <v>0.24736842105263154</v>
      </c>
      <c r="X114" s="418">
        <f t="shared" si="14"/>
        <v>0.32432432432432423</v>
      </c>
      <c r="Y114" s="419">
        <f t="shared" si="15"/>
        <v>0.33333333333333331</v>
      </c>
      <c r="Z114" s="419">
        <f t="shared" si="16"/>
        <v>5.6681384367691053E-2</v>
      </c>
      <c r="AB114" s="429">
        <f t="shared" si="18"/>
        <v>0</v>
      </c>
      <c r="AC114" s="430">
        <f t="shared" si="18"/>
        <v>0</v>
      </c>
      <c r="AD114" s="430">
        <f t="shared" si="18"/>
        <v>0</v>
      </c>
      <c r="AE114" s="432">
        <f t="shared" si="18"/>
        <v>0.24736842105263154</v>
      </c>
      <c r="AF114" s="433">
        <f t="shared" si="17"/>
        <v>0.32432432432432423</v>
      </c>
      <c r="AG114" s="434">
        <f t="shared" si="17"/>
        <v>0.33333333333333331</v>
      </c>
      <c r="AH114" s="434">
        <f t="shared" si="17"/>
        <v>5.6681384367691053E-2</v>
      </c>
    </row>
    <row r="115" spans="1:34" ht="33" customHeight="1" x14ac:dyDescent="0.35">
      <c r="A115" s="413" t="s">
        <v>251</v>
      </c>
      <c r="B115" s="260" t="s">
        <v>104</v>
      </c>
      <c r="C115" s="259" t="s">
        <v>315</v>
      </c>
      <c r="D115" s="461" t="s">
        <v>993</v>
      </c>
      <c r="E115" s="260" t="s">
        <v>316</v>
      </c>
      <c r="F115" s="414" t="s">
        <v>946</v>
      </c>
      <c r="G115" s="429">
        <v>0</v>
      </c>
      <c r="H115" s="430">
        <v>0</v>
      </c>
      <c r="I115" s="431">
        <v>0</v>
      </c>
      <c r="J115" s="432">
        <v>0.15</v>
      </c>
      <c r="K115" s="433">
        <v>0.29729729729729726</v>
      </c>
      <c r="L115" s="434">
        <v>0.38888888888888884</v>
      </c>
      <c r="M115" s="435">
        <v>94.830104220945401</v>
      </c>
      <c r="N115" s="420">
        <v>-94.830104220945401</v>
      </c>
      <c r="T115" s="415">
        <f t="shared" si="10"/>
        <v>0</v>
      </c>
      <c r="U115" s="416">
        <f t="shared" si="11"/>
        <v>0</v>
      </c>
      <c r="V115" s="416">
        <f t="shared" si="12"/>
        <v>0</v>
      </c>
      <c r="W115" s="417">
        <f t="shared" si="13"/>
        <v>1.5789473684210468E-2</v>
      </c>
      <c r="X115" s="418">
        <f t="shared" si="14"/>
        <v>0.12162162162162156</v>
      </c>
      <c r="Y115" s="419">
        <f t="shared" si="15"/>
        <v>0.18518518518518512</v>
      </c>
      <c r="Z115" s="419">
        <f t="shared" si="16"/>
        <v>-4.88378377061933E-2</v>
      </c>
      <c r="AB115" s="429">
        <f t="shared" si="18"/>
        <v>0</v>
      </c>
      <c r="AC115" s="430">
        <f t="shared" si="18"/>
        <v>0</v>
      </c>
      <c r="AD115" s="430">
        <f t="shared" si="18"/>
        <v>0</v>
      </c>
      <c r="AE115" s="432">
        <f t="shared" si="18"/>
        <v>1.5789473684210468E-2</v>
      </c>
      <c r="AF115" s="433">
        <f t="shared" si="17"/>
        <v>0.12162162162162156</v>
      </c>
      <c r="AG115" s="434">
        <f t="shared" si="17"/>
        <v>0.18518518518518512</v>
      </c>
      <c r="AH115" s="434">
        <f t="shared" si="17"/>
        <v>0</v>
      </c>
    </row>
    <row r="116" spans="1:34" ht="33" customHeight="1" x14ac:dyDescent="0.35">
      <c r="A116" s="413" t="s">
        <v>251</v>
      </c>
      <c r="B116" s="260" t="s">
        <v>107</v>
      </c>
      <c r="C116" s="259" t="s">
        <v>317</v>
      </c>
      <c r="D116" s="462" t="s">
        <v>915</v>
      </c>
      <c r="E116" s="260" t="s">
        <v>318</v>
      </c>
      <c r="F116" s="414"/>
      <c r="G116" s="429">
        <v>0</v>
      </c>
      <c r="H116" s="430">
        <v>0</v>
      </c>
      <c r="I116" s="431">
        <v>0</v>
      </c>
      <c r="J116" s="432">
        <v>0.1</v>
      </c>
      <c r="K116" s="433">
        <v>0.13513513513513517</v>
      </c>
      <c r="L116" s="434">
        <v>0.11111111111111115</v>
      </c>
      <c r="M116" s="463">
        <v>93.639683505782102</v>
      </c>
      <c r="N116" s="420">
        <v>-93.639683505782102</v>
      </c>
      <c r="T116" s="415">
        <f t="shared" si="10"/>
        <v>0</v>
      </c>
      <c r="U116" s="416">
        <f t="shared" si="11"/>
        <v>0</v>
      </c>
      <c r="V116" s="416">
        <f t="shared" si="12"/>
        <v>0</v>
      </c>
      <c r="W116" s="417">
        <f t="shared" si="13"/>
        <v>-4.2105263157894784E-2</v>
      </c>
      <c r="X116" s="418">
        <f t="shared" si="14"/>
        <v>-8.1081081081081044E-2</v>
      </c>
      <c r="Y116" s="419">
        <f t="shared" si="15"/>
        <v>-0.18518518518518512</v>
      </c>
      <c r="Z116" s="419">
        <f t="shared" si="16"/>
        <v>-3.777816183980777E-2</v>
      </c>
      <c r="AB116" s="429">
        <f t="shared" si="18"/>
        <v>0</v>
      </c>
      <c r="AC116" s="430">
        <f t="shared" si="18"/>
        <v>0</v>
      </c>
      <c r="AD116" s="430">
        <f t="shared" si="18"/>
        <v>0</v>
      </c>
      <c r="AE116" s="432">
        <f t="shared" si="18"/>
        <v>0</v>
      </c>
      <c r="AF116" s="433">
        <f t="shared" si="17"/>
        <v>0</v>
      </c>
      <c r="AG116" s="434">
        <f t="shared" si="17"/>
        <v>0</v>
      </c>
      <c r="AH116" s="434">
        <f t="shared" si="17"/>
        <v>0</v>
      </c>
    </row>
    <row r="117" spans="1:34" ht="33" customHeight="1" x14ac:dyDescent="0.35">
      <c r="A117" s="413" t="s">
        <v>251</v>
      </c>
      <c r="B117" s="260" t="s">
        <v>110</v>
      </c>
      <c r="C117" s="259" t="s">
        <v>319</v>
      </c>
      <c r="D117" s="461" t="s">
        <v>993</v>
      </c>
      <c r="E117" s="260" t="s">
        <v>320</v>
      </c>
      <c r="F117" s="414" t="s">
        <v>940</v>
      </c>
      <c r="G117" s="429">
        <v>0</v>
      </c>
      <c r="H117" s="430">
        <v>0</v>
      </c>
      <c r="I117" s="431">
        <v>0</v>
      </c>
      <c r="J117" s="432">
        <v>0.1</v>
      </c>
      <c r="K117" s="433">
        <v>0.13513513513513517</v>
      </c>
      <c r="L117" s="434">
        <v>0.16666666666666657</v>
      </c>
      <c r="M117" s="435">
        <v>59.288823767319386</v>
      </c>
      <c r="N117" s="420">
        <v>-59.288823767319386</v>
      </c>
      <c r="T117" s="415">
        <f t="shared" si="10"/>
        <v>0</v>
      </c>
      <c r="U117" s="416">
        <f t="shared" si="11"/>
        <v>0</v>
      </c>
      <c r="V117" s="416">
        <f t="shared" si="12"/>
        <v>0</v>
      </c>
      <c r="W117" s="417">
        <f t="shared" si="13"/>
        <v>-4.2105263157894784E-2</v>
      </c>
      <c r="X117" s="418">
        <f t="shared" si="14"/>
        <v>-8.1081081081081044E-2</v>
      </c>
      <c r="Y117" s="419">
        <f t="shared" si="15"/>
        <v>-0.11111111111111123</v>
      </c>
      <c r="Z117" s="419">
        <f t="shared" si="16"/>
        <v>0.28136058431932276</v>
      </c>
      <c r="AB117" s="429">
        <f t="shared" si="18"/>
        <v>0</v>
      </c>
      <c r="AC117" s="430">
        <f t="shared" si="18"/>
        <v>0</v>
      </c>
      <c r="AD117" s="430">
        <f t="shared" si="18"/>
        <v>0</v>
      </c>
      <c r="AE117" s="432">
        <f t="shared" si="18"/>
        <v>0</v>
      </c>
      <c r="AF117" s="433">
        <f t="shared" si="17"/>
        <v>0</v>
      </c>
      <c r="AG117" s="434">
        <f t="shared" si="17"/>
        <v>0</v>
      </c>
      <c r="AH117" s="434">
        <f t="shared" si="17"/>
        <v>0.28136058431932276</v>
      </c>
    </row>
    <row r="118" spans="1:34" ht="33" customHeight="1" x14ac:dyDescent="0.35">
      <c r="A118" s="413" t="s">
        <v>251</v>
      </c>
      <c r="B118" s="260" t="s">
        <v>113</v>
      </c>
      <c r="C118" s="259" t="s">
        <v>321</v>
      </c>
      <c r="D118" s="260" t="s">
        <v>938</v>
      </c>
      <c r="E118" s="260" t="s">
        <v>322</v>
      </c>
      <c r="F118" s="414" t="s">
        <v>942</v>
      </c>
      <c r="G118" s="429">
        <v>0</v>
      </c>
      <c r="H118" s="430">
        <v>0</v>
      </c>
      <c r="I118" s="431">
        <v>0</v>
      </c>
      <c r="J118" s="432">
        <v>0.1</v>
      </c>
      <c r="K118" s="433">
        <v>0.1891891891891892</v>
      </c>
      <c r="L118" s="434">
        <v>0.22222222222222215</v>
      </c>
      <c r="M118" s="435">
        <v>63.700022717276426</v>
      </c>
      <c r="N118" s="420">
        <v>-63.700022717276426</v>
      </c>
      <c r="T118" s="415">
        <f t="shared" si="10"/>
        <v>0</v>
      </c>
      <c r="U118" s="416">
        <f t="shared" si="11"/>
        <v>0</v>
      </c>
      <c r="V118" s="416">
        <f t="shared" si="12"/>
        <v>0</v>
      </c>
      <c r="W118" s="417">
        <f t="shared" si="13"/>
        <v>-4.2105263157894784E-2</v>
      </c>
      <c r="X118" s="418">
        <f t="shared" si="14"/>
        <v>-1.3513513513513514E-2</v>
      </c>
      <c r="Y118" s="419">
        <f t="shared" si="15"/>
        <v>-3.7037037037037125E-2</v>
      </c>
      <c r="Z118" s="419">
        <f t="shared" si="16"/>
        <v>0.24037807288682245</v>
      </c>
      <c r="AB118" s="429">
        <f t="shared" si="18"/>
        <v>0</v>
      </c>
      <c r="AC118" s="430">
        <f t="shared" si="18"/>
        <v>0</v>
      </c>
      <c r="AD118" s="430">
        <f t="shared" si="18"/>
        <v>0</v>
      </c>
      <c r="AE118" s="432">
        <f t="shared" si="18"/>
        <v>0</v>
      </c>
      <c r="AF118" s="433">
        <f t="shared" si="17"/>
        <v>0</v>
      </c>
      <c r="AG118" s="434">
        <f t="shared" si="17"/>
        <v>0</v>
      </c>
      <c r="AH118" s="434">
        <f t="shared" si="17"/>
        <v>0.24037807288682245</v>
      </c>
    </row>
    <row r="119" spans="1:34" ht="33" customHeight="1" x14ac:dyDescent="0.35">
      <c r="A119" s="413" t="s">
        <v>251</v>
      </c>
      <c r="B119" s="260" t="s">
        <v>116</v>
      </c>
      <c r="C119" s="259" t="s">
        <v>323</v>
      </c>
      <c r="D119" s="260" t="s">
        <v>918</v>
      </c>
      <c r="E119" s="260" t="s">
        <v>324</v>
      </c>
      <c r="F119" s="414"/>
      <c r="G119" s="429">
        <v>0</v>
      </c>
      <c r="H119" s="430">
        <v>0</v>
      </c>
      <c r="I119" s="431">
        <v>0</v>
      </c>
      <c r="J119" s="432">
        <v>0.1</v>
      </c>
      <c r="K119" s="433">
        <v>8.1081081081080975E-2</v>
      </c>
      <c r="L119" s="434">
        <v>0.11111111111111115</v>
      </c>
      <c r="M119" s="435">
        <v>90.999704501328239</v>
      </c>
      <c r="N119" s="420">
        <v>-90.999704501328239</v>
      </c>
      <c r="T119" s="415">
        <f t="shared" si="10"/>
        <v>0</v>
      </c>
      <c r="U119" s="416">
        <f t="shared" si="11"/>
        <v>0</v>
      </c>
      <c r="V119" s="416">
        <f t="shared" si="12"/>
        <v>0</v>
      </c>
      <c r="W119" s="417">
        <f t="shared" si="13"/>
        <v>-4.2105263157894784E-2</v>
      </c>
      <c r="X119" s="418">
        <f t="shared" si="14"/>
        <v>-0.1486486486486488</v>
      </c>
      <c r="Y119" s="419">
        <f t="shared" si="15"/>
        <v>-0.18518518518518512</v>
      </c>
      <c r="Z119" s="419">
        <f t="shared" si="16"/>
        <v>-1.3251276755052086E-2</v>
      </c>
      <c r="AB119" s="429">
        <f t="shared" si="18"/>
        <v>0</v>
      </c>
      <c r="AC119" s="430">
        <f t="shared" si="18"/>
        <v>0</v>
      </c>
      <c r="AD119" s="430">
        <f t="shared" si="18"/>
        <v>0</v>
      </c>
      <c r="AE119" s="432">
        <f t="shared" si="18"/>
        <v>0</v>
      </c>
      <c r="AF119" s="433">
        <f t="shared" si="17"/>
        <v>0</v>
      </c>
      <c r="AG119" s="434">
        <f t="shared" si="17"/>
        <v>0</v>
      </c>
      <c r="AH119" s="434">
        <f t="shared" si="17"/>
        <v>0</v>
      </c>
    </row>
    <row r="120" spans="1:34" ht="33" customHeight="1" x14ac:dyDescent="0.35">
      <c r="A120" s="413" t="s">
        <v>251</v>
      </c>
      <c r="B120" s="260" t="s">
        <v>119</v>
      </c>
      <c r="C120" s="259" t="s">
        <v>325</v>
      </c>
      <c r="D120" s="260" t="s">
        <v>918</v>
      </c>
      <c r="E120" s="260" t="s">
        <v>326</v>
      </c>
      <c r="F120" s="414"/>
      <c r="G120" s="429">
        <v>0</v>
      </c>
      <c r="H120" s="430">
        <v>1</v>
      </c>
      <c r="I120" s="431">
        <v>0</v>
      </c>
      <c r="J120" s="432">
        <v>0.05</v>
      </c>
      <c r="K120" s="433">
        <v>2.7027027027026945E-2</v>
      </c>
      <c r="L120" s="434">
        <v>0.11111111111111115</v>
      </c>
      <c r="M120" s="435">
        <v>71.488857074386161</v>
      </c>
      <c r="N120" s="420">
        <v>-71.488857074386161</v>
      </c>
      <c r="T120" s="415">
        <f t="shared" si="10"/>
        <v>0</v>
      </c>
      <c r="U120" s="416">
        <f t="shared" si="11"/>
        <v>0.25</v>
      </c>
      <c r="V120" s="416">
        <f t="shared" si="12"/>
        <v>0</v>
      </c>
      <c r="W120" s="417">
        <f t="shared" si="13"/>
        <v>-0.10000000000000006</v>
      </c>
      <c r="X120" s="418">
        <f t="shared" si="14"/>
        <v>-0.21621621621621631</v>
      </c>
      <c r="Y120" s="419">
        <f t="shared" si="15"/>
        <v>-0.18518518518518512</v>
      </c>
      <c r="Z120" s="419">
        <f t="shared" si="16"/>
        <v>0.16801543481328698</v>
      </c>
      <c r="AB120" s="429">
        <f t="shared" si="18"/>
        <v>0</v>
      </c>
      <c r="AC120" s="430">
        <f t="shared" si="18"/>
        <v>0.25</v>
      </c>
      <c r="AD120" s="430">
        <f t="shared" si="18"/>
        <v>0</v>
      </c>
      <c r="AE120" s="432">
        <f t="shared" si="18"/>
        <v>0</v>
      </c>
      <c r="AF120" s="433">
        <f t="shared" si="17"/>
        <v>0</v>
      </c>
      <c r="AG120" s="434">
        <f t="shared" si="17"/>
        <v>0</v>
      </c>
      <c r="AH120" s="434">
        <f t="shared" si="17"/>
        <v>0.16801543481328698</v>
      </c>
    </row>
    <row r="121" spans="1:34" ht="33" customHeight="1" x14ac:dyDescent="0.35">
      <c r="A121" s="413" t="s">
        <v>251</v>
      </c>
      <c r="B121" s="260" t="s">
        <v>122</v>
      </c>
      <c r="C121" s="259" t="s">
        <v>327</v>
      </c>
      <c r="D121" s="260" t="s">
        <v>918</v>
      </c>
      <c r="E121" s="260" t="s">
        <v>328</v>
      </c>
      <c r="F121" s="414"/>
      <c r="G121" s="429">
        <v>0</v>
      </c>
      <c r="H121" s="430">
        <v>0</v>
      </c>
      <c r="I121" s="431">
        <v>0</v>
      </c>
      <c r="J121" s="432">
        <v>0.1</v>
      </c>
      <c r="K121" s="433">
        <v>0.13513513513513517</v>
      </c>
      <c r="L121" s="434">
        <v>0.16666666666666657</v>
      </c>
      <c r="M121" s="435">
        <v>65.662876633874106</v>
      </c>
      <c r="N121" s="420">
        <v>-65.662876633874106</v>
      </c>
      <c r="T121" s="415">
        <f t="shared" si="10"/>
        <v>0</v>
      </c>
      <c r="U121" s="416">
        <f t="shared" si="11"/>
        <v>0</v>
      </c>
      <c r="V121" s="416">
        <f t="shared" si="12"/>
        <v>0</v>
      </c>
      <c r="W121" s="417">
        <f t="shared" si="13"/>
        <v>-4.2105263157894784E-2</v>
      </c>
      <c r="X121" s="418">
        <f t="shared" si="14"/>
        <v>-8.1081081081081044E-2</v>
      </c>
      <c r="Y121" s="419">
        <f t="shared" si="15"/>
        <v>-0.11111111111111123</v>
      </c>
      <c r="Z121" s="419">
        <f t="shared" si="16"/>
        <v>0.22214205950590796</v>
      </c>
      <c r="AB121" s="429">
        <f t="shared" si="18"/>
        <v>0</v>
      </c>
      <c r="AC121" s="430">
        <f t="shared" si="18"/>
        <v>0</v>
      </c>
      <c r="AD121" s="430">
        <f t="shared" si="18"/>
        <v>0</v>
      </c>
      <c r="AE121" s="432">
        <f t="shared" si="18"/>
        <v>0</v>
      </c>
      <c r="AF121" s="433">
        <f t="shared" si="17"/>
        <v>0</v>
      </c>
      <c r="AG121" s="434">
        <f t="shared" si="17"/>
        <v>0</v>
      </c>
      <c r="AH121" s="434">
        <f t="shared" si="17"/>
        <v>0.22214205950590796</v>
      </c>
    </row>
    <row r="122" spans="1:34" ht="33" customHeight="1" x14ac:dyDescent="0.35">
      <c r="A122" s="413" t="s">
        <v>251</v>
      </c>
      <c r="B122" s="260" t="s">
        <v>125</v>
      </c>
      <c r="C122" s="259" t="s">
        <v>329</v>
      </c>
      <c r="D122" s="260" t="s">
        <v>918</v>
      </c>
      <c r="E122" s="260" t="s">
        <v>330</v>
      </c>
      <c r="F122" s="414"/>
      <c r="G122" s="429">
        <v>0</v>
      </c>
      <c r="H122" s="430">
        <v>0</v>
      </c>
      <c r="I122" s="431">
        <v>0</v>
      </c>
      <c r="J122" s="432">
        <v>0.1</v>
      </c>
      <c r="K122" s="433">
        <v>0.13513513513513517</v>
      </c>
      <c r="L122" s="434">
        <v>0.16666666666666657</v>
      </c>
      <c r="M122" s="435">
        <v>64.932094057067673</v>
      </c>
      <c r="N122" s="420">
        <v>-64.932094057067673</v>
      </c>
      <c r="T122" s="415">
        <f t="shared" si="10"/>
        <v>0</v>
      </c>
      <c r="U122" s="416">
        <f t="shared" si="11"/>
        <v>0</v>
      </c>
      <c r="V122" s="416">
        <f t="shared" si="12"/>
        <v>0</v>
      </c>
      <c r="W122" s="417">
        <f t="shared" si="13"/>
        <v>-4.2105263157894784E-2</v>
      </c>
      <c r="X122" s="418">
        <f t="shared" si="14"/>
        <v>-8.1081081081081044E-2</v>
      </c>
      <c r="Y122" s="419">
        <f t="shared" si="15"/>
        <v>-0.11111111111111123</v>
      </c>
      <c r="Z122" s="419">
        <f t="shared" si="16"/>
        <v>0.22893143936576066</v>
      </c>
      <c r="AB122" s="429">
        <f t="shared" si="18"/>
        <v>0</v>
      </c>
      <c r="AC122" s="430">
        <f t="shared" si="18"/>
        <v>0</v>
      </c>
      <c r="AD122" s="430">
        <f t="shared" si="18"/>
        <v>0</v>
      </c>
      <c r="AE122" s="432">
        <f t="shared" si="18"/>
        <v>0</v>
      </c>
      <c r="AF122" s="433">
        <f t="shared" si="17"/>
        <v>0</v>
      </c>
      <c r="AG122" s="434">
        <f t="shared" si="17"/>
        <v>0</v>
      </c>
      <c r="AH122" s="434">
        <f t="shared" si="17"/>
        <v>0.22893143936576066</v>
      </c>
    </row>
    <row r="123" spans="1:34" ht="33" customHeight="1" x14ac:dyDescent="0.35">
      <c r="A123" s="426" t="s">
        <v>251</v>
      </c>
      <c r="B123" s="427" t="s">
        <v>128</v>
      </c>
      <c r="C123" s="428" t="s">
        <v>331</v>
      </c>
      <c r="D123" s="462" t="s">
        <v>915</v>
      </c>
      <c r="E123" s="260" t="s">
        <v>332</v>
      </c>
      <c r="F123" s="414"/>
      <c r="G123" s="429">
        <v>4</v>
      </c>
      <c r="H123" s="430">
        <v>4</v>
      </c>
      <c r="I123" s="431">
        <v>4</v>
      </c>
      <c r="J123" s="432">
        <v>1</v>
      </c>
      <c r="K123" s="433">
        <v>1</v>
      </c>
      <c r="L123" s="434">
        <v>1</v>
      </c>
      <c r="M123" s="435">
        <v>-3.3953805593498441</v>
      </c>
      <c r="N123" s="420">
        <v>3.3953805593498441</v>
      </c>
      <c r="T123" s="415">
        <f t="shared" si="10"/>
        <v>1</v>
      </c>
      <c r="U123" s="416">
        <f t="shared" si="11"/>
        <v>1</v>
      </c>
      <c r="V123" s="416">
        <f t="shared" si="12"/>
        <v>1</v>
      </c>
      <c r="W123" s="417">
        <f t="shared" si="13"/>
        <v>1</v>
      </c>
      <c r="X123" s="418">
        <f t="shared" si="14"/>
        <v>1</v>
      </c>
      <c r="Y123" s="419">
        <f t="shared" si="15"/>
        <v>1</v>
      </c>
      <c r="Z123" s="419">
        <f t="shared" si="16"/>
        <v>0.86373198710538979</v>
      </c>
      <c r="AB123" s="429">
        <f t="shared" si="18"/>
        <v>1</v>
      </c>
      <c r="AC123" s="430">
        <f t="shared" si="18"/>
        <v>1</v>
      </c>
      <c r="AD123" s="430">
        <f t="shared" si="18"/>
        <v>1</v>
      </c>
      <c r="AE123" s="432">
        <f t="shared" si="18"/>
        <v>1</v>
      </c>
      <c r="AF123" s="433">
        <f t="shared" si="17"/>
        <v>1</v>
      </c>
      <c r="AG123" s="434">
        <f t="shared" si="17"/>
        <v>1</v>
      </c>
      <c r="AH123" s="434">
        <f t="shared" si="17"/>
        <v>0.86373198710538979</v>
      </c>
    </row>
    <row r="124" spans="1:34" ht="33" customHeight="1" x14ac:dyDescent="0.35">
      <c r="A124" s="413" t="s">
        <v>251</v>
      </c>
      <c r="B124" s="260" t="s">
        <v>131</v>
      </c>
      <c r="C124" s="259" t="s">
        <v>333</v>
      </c>
      <c r="D124" s="260" t="s">
        <v>916</v>
      </c>
      <c r="E124" s="260" t="s">
        <v>334</v>
      </c>
      <c r="F124" s="414"/>
      <c r="G124" s="429">
        <v>0</v>
      </c>
      <c r="H124" s="430">
        <v>0</v>
      </c>
      <c r="I124" s="431">
        <v>0</v>
      </c>
      <c r="J124" s="452">
        <v>5.5555555555555573E-2</v>
      </c>
      <c r="K124" s="453">
        <v>0.125</v>
      </c>
      <c r="L124" s="454">
        <v>0</v>
      </c>
      <c r="M124" s="455">
        <v>93.173048635280679</v>
      </c>
      <c r="N124" s="420">
        <v>-93.173048635280679</v>
      </c>
      <c r="T124" s="415">
        <f t="shared" si="10"/>
        <v>0</v>
      </c>
      <c r="U124" s="416">
        <f t="shared" si="11"/>
        <v>0</v>
      </c>
      <c r="V124" s="416">
        <f t="shared" si="12"/>
        <v>0</v>
      </c>
      <c r="W124" s="417">
        <f t="shared" si="13"/>
        <v>-9.3567251461988341E-2</v>
      </c>
      <c r="X124" s="418">
        <f t="shared" si="14"/>
        <v>-9.3750000000000014E-2</v>
      </c>
      <c r="Y124" s="419">
        <f t="shared" si="15"/>
        <v>-0.33333333333333331</v>
      </c>
      <c r="Z124" s="419">
        <f t="shared" si="16"/>
        <v>-3.3442862268856857E-2</v>
      </c>
      <c r="AB124" s="429">
        <f t="shared" si="18"/>
        <v>0</v>
      </c>
      <c r="AC124" s="430">
        <f t="shared" si="18"/>
        <v>0</v>
      </c>
      <c r="AD124" s="430">
        <f t="shared" si="18"/>
        <v>0</v>
      </c>
      <c r="AE124" s="432">
        <f t="shared" si="18"/>
        <v>0</v>
      </c>
      <c r="AF124" s="433">
        <f t="shared" si="17"/>
        <v>0</v>
      </c>
      <c r="AG124" s="434">
        <f t="shared" si="17"/>
        <v>0</v>
      </c>
      <c r="AH124" s="434">
        <f t="shared" si="17"/>
        <v>0</v>
      </c>
    </row>
    <row r="125" spans="1:34" ht="33" customHeight="1" x14ac:dyDescent="0.35">
      <c r="A125" s="413" t="s">
        <v>251</v>
      </c>
      <c r="B125" s="260" t="s">
        <v>134</v>
      </c>
      <c r="C125" s="259" t="s">
        <v>335</v>
      </c>
      <c r="D125" s="461" t="s">
        <v>993</v>
      </c>
      <c r="E125" s="260" t="s">
        <v>336</v>
      </c>
      <c r="F125" s="414" t="s">
        <v>953</v>
      </c>
      <c r="G125" s="429">
        <v>0</v>
      </c>
      <c r="H125" s="430">
        <v>0</v>
      </c>
      <c r="I125" s="431">
        <v>0</v>
      </c>
      <c r="J125" s="432">
        <v>0.15</v>
      </c>
      <c r="K125" s="433">
        <v>0.24324324324324323</v>
      </c>
      <c r="L125" s="434">
        <v>0.22222222222222215</v>
      </c>
      <c r="M125" s="435">
        <v>89.241465644398943</v>
      </c>
      <c r="N125" s="420">
        <v>-89.241465644398943</v>
      </c>
      <c r="T125" s="415">
        <f t="shared" si="10"/>
        <v>0</v>
      </c>
      <c r="U125" s="416">
        <f t="shared" si="11"/>
        <v>0</v>
      </c>
      <c r="V125" s="416">
        <f t="shared" si="12"/>
        <v>0</v>
      </c>
      <c r="W125" s="417">
        <f t="shared" si="13"/>
        <v>1.5789473684210468E-2</v>
      </c>
      <c r="X125" s="418">
        <f t="shared" si="14"/>
        <v>5.4054054054054022E-2</v>
      </c>
      <c r="Y125" s="419">
        <f t="shared" si="15"/>
        <v>-3.7037037037037125E-2</v>
      </c>
      <c r="Z125" s="419">
        <f t="shared" si="16"/>
        <v>3.0837480018505456E-3</v>
      </c>
      <c r="AB125" s="429">
        <f t="shared" si="18"/>
        <v>0</v>
      </c>
      <c r="AC125" s="430">
        <f t="shared" si="18"/>
        <v>0</v>
      </c>
      <c r="AD125" s="430">
        <f t="shared" si="18"/>
        <v>0</v>
      </c>
      <c r="AE125" s="432">
        <f t="shared" si="18"/>
        <v>1.5789473684210468E-2</v>
      </c>
      <c r="AF125" s="433">
        <f t="shared" si="17"/>
        <v>5.4054054054054022E-2</v>
      </c>
      <c r="AG125" s="434">
        <f t="shared" si="17"/>
        <v>0</v>
      </c>
      <c r="AH125" s="434">
        <f t="shared" si="17"/>
        <v>3.0837480018505456E-3</v>
      </c>
    </row>
    <row r="126" spans="1:34" ht="33" customHeight="1" x14ac:dyDescent="0.35">
      <c r="A126" s="413" t="s">
        <v>251</v>
      </c>
      <c r="B126" s="260" t="s">
        <v>137</v>
      </c>
      <c r="C126" s="259" t="s">
        <v>337</v>
      </c>
      <c r="D126" s="461" t="s">
        <v>993</v>
      </c>
      <c r="E126" s="260" t="s">
        <v>338</v>
      </c>
      <c r="F126" s="414" t="s">
        <v>956</v>
      </c>
      <c r="G126" s="429">
        <v>0</v>
      </c>
      <c r="H126" s="430">
        <v>0</v>
      </c>
      <c r="I126" s="431">
        <v>0</v>
      </c>
      <c r="J126" s="432">
        <v>0.2</v>
      </c>
      <c r="K126" s="433">
        <v>0.29729729729729726</v>
      </c>
      <c r="L126" s="434">
        <v>0.22222222222222215</v>
      </c>
      <c r="M126" s="435">
        <v>164.56747161646047</v>
      </c>
      <c r="N126" s="420">
        <v>-164.56747161646047</v>
      </c>
      <c r="T126" s="415">
        <f t="shared" si="10"/>
        <v>0</v>
      </c>
      <c r="U126" s="416">
        <f t="shared" si="11"/>
        <v>0</v>
      </c>
      <c r="V126" s="416">
        <f t="shared" si="12"/>
        <v>0</v>
      </c>
      <c r="W126" s="417">
        <f t="shared" si="13"/>
        <v>7.3684210526315755E-2</v>
      </c>
      <c r="X126" s="418">
        <f t="shared" si="14"/>
        <v>0.12162162162162156</v>
      </c>
      <c r="Y126" s="419">
        <f t="shared" si="15"/>
        <v>-3.7037037037037125E-2</v>
      </c>
      <c r="Z126" s="419">
        <f t="shared" si="16"/>
        <v>-0.69673707983559308</v>
      </c>
      <c r="AB126" s="429">
        <f t="shared" si="18"/>
        <v>0</v>
      </c>
      <c r="AC126" s="430">
        <f t="shared" si="18"/>
        <v>0</v>
      </c>
      <c r="AD126" s="430">
        <f t="shared" si="18"/>
        <v>0</v>
      </c>
      <c r="AE126" s="432">
        <f t="shared" si="18"/>
        <v>7.3684210526315755E-2</v>
      </c>
      <c r="AF126" s="433">
        <f t="shared" si="17"/>
        <v>0.12162162162162156</v>
      </c>
      <c r="AG126" s="434">
        <f t="shared" si="17"/>
        <v>0</v>
      </c>
      <c r="AH126" s="434">
        <f t="shared" si="17"/>
        <v>0</v>
      </c>
    </row>
    <row r="127" spans="1:34" ht="33" customHeight="1" x14ac:dyDescent="0.35">
      <c r="A127" s="426" t="s">
        <v>251</v>
      </c>
      <c r="B127" s="427" t="s">
        <v>140</v>
      </c>
      <c r="C127" s="428" t="s">
        <v>339</v>
      </c>
      <c r="D127" s="260" t="s">
        <v>926</v>
      </c>
      <c r="E127" s="260" t="s">
        <v>340</v>
      </c>
      <c r="F127" s="414"/>
      <c r="G127" s="429">
        <v>2</v>
      </c>
      <c r="H127" s="430">
        <v>0</v>
      </c>
      <c r="I127" s="431">
        <v>1</v>
      </c>
      <c r="J127" s="432">
        <v>1</v>
      </c>
      <c r="K127" s="433">
        <v>1</v>
      </c>
      <c r="L127" s="434">
        <v>1</v>
      </c>
      <c r="M127" s="435">
        <v>33.455175158034493</v>
      </c>
      <c r="N127" s="420">
        <v>-33.455175158034493</v>
      </c>
      <c r="T127" s="415">
        <f t="shared" si="10"/>
        <v>0.5</v>
      </c>
      <c r="U127" s="416">
        <f t="shared" si="11"/>
        <v>0</v>
      </c>
      <c r="V127" s="416">
        <f t="shared" si="12"/>
        <v>0.25</v>
      </c>
      <c r="W127" s="417">
        <f t="shared" si="13"/>
        <v>1</v>
      </c>
      <c r="X127" s="418">
        <f t="shared" si="14"/>
        <v>1</v>
      </c>
      <c r="Y127" s="419">
        <f t="shared" si="15"/>
        <v>1</v>
      </c>
      <c r="Z127" s="419">
        <f t="shared" si="16"/>
        <v>0.52136966381992533</v>
      </c>
      <c r="AB127" s="429">
        <f t="shared" si="18"/>
        <v>0.5</v>
      </c>
      <c r="AC127" s="430">
        <f t="shared" si="18"/>
        <v>0</v>
      </c>
      <c r="AD127" s="430">
        <f t="shared" si="18"/>
        <v>0.25</v>
      </c>
      <c r="AE127" s="432">
        <f t="shared" si="18"/>
        <v>1</v>
      </c>
      <c r="AF127" s="433">
        <f t="shared" si="17"/>
        <v>1</v>
      </c>
      <c r="AG127" s="434">
        <f t="shared" si="17"/>
        <v>1</v>
      </c>
      <c r="AH127" s="434">
        <f t="shared" si="17"/>
        <v>0.52136966381992533</v>
      </c>
    </row>
    <row r="128" spans="1:34" ht="33" customHeight="1" x14ac:dyDescent="0.35">
      <c r="A128" s="413" t="s">
        <v>251</v>
      </c>
      <c r="B128" s="260" t="s">
        <v>143</v>
      </c>
      <c r="C128" s="259" t="s">
        <v>341</v>
      </c>
      <c r="D128" s="260" t="s">
        <v>925</v>
      </c>
      <c r="E128" s="260" t="s">
        <v>342</v>
      </c>
      <c r="F128" s="414" t="s">
        <v>930</v>
      </c>
      <c r="G128" s="429">
        <v>2</v>
      </c>
      <c r="H128" s="430">
        <v>1</v>
      </c>
      <c r="I128" s="431">
        <v>2</v>
      </c>
      <c r="J128" s="432">
        <v>0.1</v>
      </c>
      <c r="K128" s="433">
        <v>0.13513513513513517</v>
      </c>
      <c r="L128" s="434">
        <v>0.33333333333333343</v>
      </c>
      <c r="M128" s="435">
        <v>6.582595577935626</v>
      </c>
      <c r="N128" s="420">
        <v>-6.582595577935626</v>
      </c>
      <c r="T128" s="415">
        <f t="shared" si="10"/>
        <v>0.5</v>
      </c>
      <c r="U128" s="416">
        <f t="shared" si="11"/>
        <v>0.25</v>
      </c>
      <c r="V128" s="416">
        <f t="shared" si="12"/>
        <v>0.5</v>
      </c>
      <c r="W128" s="417">
        <f t="shared" si="13"/>
        <v>-4.2105263157894784E-2</v>
      </c>
      <c r="X128" s="418">
        <f t="shared" si="14"/>
        <v>-8.1081081081081044E-2</v>
      </c>
      <c r="Y128" s="419">
        <f t="shared" si="15"/>
        <v>0.11111111111111123</v>
      </c>
      <c r="Z128" s="419">
        <f t="shared" si="16"/>
        <v>0.77103099452751034</v>
      </c>
      <c r="AB128" s="429">
        <f t="shared" si="18"/>
        <v>0.5</v>
      </c>
      <c r="AC128" s="430">
        <f t="shared" si="18"/>
        <v>0.25</v>
      </c>
      <c r="AD128" s="430">
        <f t="shared" si="18"/>
        <v>0.5</v>
      </c>
      <c r="AE128" s="432">
        <f t="shared" si="18"/>
        <v>0</v>
      </c>
      <c r="AF128" s="433">
        <f t="shared" si="17"/>
        <v>0</v>
      </c>
      <c r="AG128" s="434">
        <f t="shared" si="17"/>
        <v>0.11111111111111123</v>
      </c>
      <c r="AH128" s="434">
        <f t="shared" si="17"/>
        <v>0.77103099452751034</v>
      </c>
    </row>
    <row r="129" spans="1:34" ht="33" customHeight="1" x14ac:dyDescent="0.35">
      <c r="A129" s="413" t="s">
        <v>251</v>
      </c>
      <c r="B129" s="260" t="s">
        <v>146</v>
      </c>
      <c r="C129" s="259" t="s">
        <v>343</v>
      </c>
      <c r="D129" s="260" t="s">
        <v>918</v>
      </c>
      <c r="E129" s="260" t="s">
        <v>344</v>
      </c>
      <c r="F129" s="414"/>
      <c r="G129" s="429">
        <v>0</v>
      </c>
      <c r="H129" s="430">
        <v>0</v>
      </c>
      <c r="I129" s="431">
        <v>0</v>
      </c>
      <c r="J129" s="432">
        <v>0.05</v>
      </c>
      <c r="K129" s="433">
        <v>8.1081081081080975E-2</v>
      </c>
      <c r="L129" s="434">
        <v>0.11111111111111115</v>
      </c>
      <c r="M129" s="435">
        <v>94.036276124867868</v>
      </c>
      <c r="N129" s="420">
        <v>-94.036276124867868</v>
      </c>
      <c r="T129" s="415">
        <f t="shared" si="10"/>
        <v>0</v>
      </c>
      <c r="U129" s="416">
        <f t="shared" si="11"/>
        <v>0</v>
      </c>
      <c r="V129" s="416">
        <f t="shared" si="12"/>
        <v>0</v>
      </c>
      <c r="W129" s="417">
        <f t="shared" si="13"/>
        <v>-0.10000000000000006</v>
      </c>
      <c r="X129" s="418">
        <f t="shared" si="14"/>
        <v>-0.1486486486486488</v>
      </c>
      <c r="Y129" s="419">
        <f t="shared" si="15"/>
        <v>-0.18518518518518512</v>
      </c>
      <c r="Z129" s="419">
        <f t="shared" si="16"/>
        <v>-4.1462729625145564E-2</v>
      </c>
      <c r="AB129" s="429">
        <f t="shared" si="18"/>
        <v>0</v>
      </c>
      <c r="AC129" s="430">
        <f t="shared" si="18"/>
        <v>0</v>
      </c>
      <c r="AD129" s="430">
        <f t="shared" si="18"/>
        <v>0</v>
      </c>
      <c r="AE129" s="432">
        <f t="shared" si="18"/>
        <v>0</v>
      </c>
      <c r="AF129" s="433">
        <f t="shared" si="17"/>
        <v>0</v>
      </c>
      <c r="AG129" s="434">
        <f t="shared" si="17"/>
        <v>0</v>
      </c>
      <c r="AH129" s="434">
        <f t="shared" si="17"/>
        <v>0</v>
      </c>
    </row>
    <row r="130" spans="1:34" ht="33" customHeight="1" x14ac:dyDescent="0.35">
      <c r="A130" s="413" t="s">
        <v>251</v>
      </c>
      <c r="B130" s="260" t="s">
        <v>149</v>
      </c>
      <c r="C130" s="259" t="s">
        <v>345</v>
      </c>
      <c r="D130" s="260" t="s">
        <v>918</v>
      </c>
      <c r="E130" s="260" t="s">
        <v>346</v>
      </c>
      <c r="F130" s="414"/>
      <c r="G130" s="429">
        <v>0</v>
      </c>
      <c r="H130" s="430">
        <v>0</v>
      </c>
      <c r="I130" s="431">
        <v>0</v>
      </c>
      <c r="J130" s="432">
        <v>0.1</v>
      </c>
      <c r="K130" s="433">
        <v>8.1081081081080975E-2</v>
      </c>
      <c r="L130" s="434">
        <v>0.11111111111111115</v>
      </c>
      <c r="M130" s="435">
        <v>90.7188719639216</v>
      </c>
      <c r="N130" s="420">
        <v>-90.7188719639216</v>
      </c>
      <c r="T130" s="415">
        <f t="shared" si="10"/>
        <v>0</v>
      </c>
      <c r="U130" s="416">
        <f t="shared" si="11"/>
        <v>0</v>
      </c>
      <c r="V130" s="416">
        <f t="shared" si="12"/>
        <v>0</v>
      </c>
      <c r="W130" s="417">
        <f t="shared" si="13"/>
        <v>-4.2105263157894784E-2</v>
      </c>
      <c r="X130" s="418">
        <f t="shared" si="14"/>
        <v>-0.1486486486486488</v>
      </c>
      <c r="Y130" s="419">
        <f t="shared" si="15"/>
        <v>-0.18518518518518512</v>
      </c>
      <c r="Z130" s="419">
        <f t="shared" si="16"/>
        <v>-1.0642185030681388E-2</v>
      </c>
      <c r="AB130" s="429">
        <f t="shared" si="18"/>
        <v>0</v>
      </c>
      <c r="AC130" s="430">
        <f t="shared" si="18"/>
        <v>0</v>
      </c>
      <c r="AD130" s="430">
        <f t="shared" si="18"/>
        <v>0</v>
      </c>
      <c r="AE130" s="432">
        <f t="shared" si="18"/>
        <v>0</v>
      </c>
      <c r="AF130" s="433">
        <f t="shared" si="17"/>
        <v>0</v>
      </c>
      <c r="AG130" s="434">
        <f t="shared" si="17"/>
        <v>0</v>
      </c>
      <c r="AH130" s="434">
        <f t="shared" si="17"/>
        <v>0</v>
      </c>
    </row>
    <row r="131" spans="1:34" ht="33" customHeight="1" x14ac:dyDescent="0.35">
      <c r="A131" s="413" t="s">
        <v>251</v>
      </c>
      <c r="B131" s="260" t="s">
        <v>152</v>
      </c>
      <c r="C131" s="259" t="s">
        <v>347</v>
      </c>
      <c r="D131" s="260" t="s">
        <v>918</v>
      </c>
      <c r="E131" s="260" t="s">
        <v>348</v>
      </c>
      <c r="F131" s="414"/>
      <c r="G131" s="429">
        <v>0</v>
      </c>
      <c r="H131" s="430">
        <v>0</v>
      </c>
      <c r="I131" s="431">
        <v>0</v>
      </c>
      <c r="J131" s="432">
        <v>0.1</v>
      </c>
      <c r="K131" s="433">
        <v>8.1081081081080975E-2</v>
      </c>
      <c r="L131" s="434">
        <v>0.16666666666666657</v>
      </c>
      <c r="M131" s="435">
        <v>91.082261346742868</v>
      </c>
      <c r="N131" s="420">
        <v>-91.082261346742868</v>
      </c>
      <c r="T131" s="415">
        <f t="shared" si="10"/>
        <v>0</v>
      </c>
      <c r="U131" s="416">
        <f t="shared" si="11"/>
        <v>0</v>
      </c>
      <c r="V131" s="416">
        <f t="shared" si="12"/>
        <v>0</v>
      </c>
      <c r="W131" s="417">
        <f t="shared" si="13"/>
        <v>-4.2105263157894784E-2</v>
      </c>
      <c r="X131" s="418">
        <f t="shared" si="14"/>
        <v>-0.1486486486486488</v>
      </c>
      <c r="Y131" s="419">
        <f t="shared" si="15"/>
        <v>-0.11111111111111123</v>
      </c>
      <c r="Z131" s="419">
        <f t="shared" si="16"/>
        <v>-1.401827613536096E-2</v>
      </c>
      <c r="AB131" s="429">
        <f t="shared" si="18"/>
        <v>0</v>
      </c>
      <c r="AC131" s="430">
        <f t="shared" si="18"/>
        <v>0</v>
      </c>
      <c r="AD131" s="430">
        <f t="shared" si="18"/>
        <v>0</v>
      </c>
      <c r="AE131" s="432">
        <f t="shared" si="18"/>
        <v>0</v>
      </c>
      <c r="AF131" s="433">
        <f t="shared" si="17"/>
        <v>0</v>
      </c>
      <c r="AG131" s="434">
        <f t="shared" si="17"/>
        <v>0</v>
      </c>
      <c r="AH131" s="434">
        <f t="shared" si="17"/>
        <v>0</v>
      </c>
    </row>
    <row r="132" spans="1:34" ht="33" customHeight="1" x14ac:dyDescent="0.35">
      <c r="A132" s="413" t="s">
        <v>251</v>
      </c>
      <c r="B132" s="260" t="s">
        <v>155</v>
      </c>
      <c r="C132" s="259" t="s">
        <v>349</v>
      </c>
      <c r="D132" s="260" t="s">
        <v>918</v>
      </c>
      <c r="E132" s="260" t="s">
        <v>350</v>
      </c>
      <c r="F132" s="414"/>
      <c r="G132" s="429">
        <v>0</v>
      </c>
      <c r="H132" s="430">
        <v>0</v>
      </c>
      <c r="I132" s="431">
        <v>1</v>
      </c>
      <c r="J132" s="432">
        <v>0.05</v>
      </c>
      <c r="K132" s="433">
        <v>8.1081081081080975E-2</v>
      </c>
      <c r="L132" s="434">
        <v>0.11111111111111115</v>
      </c>
      <c r="M132" s="435">
        <v>99.03729738684595</v>
      </c>
      <c r="N132" s="420">
        <v>-99.03729738684595</v>
      </c>
      <c r="T132" s="415">
        <f t="shared" ref="T132:T195" si="19">(G132-$R$3)/($Q$3-$R$3)</f>
        <v>0</v>
      </c>
      <c r="U132" s="416">
        <f t="shared" ref="U132:U195" si="20">(H132-$R$4)/($Q$4-$R$4)</f>
        <v>0</v>
      </c>
      <c r="V132" s="416">
        <f t="shared" ref="V132:V195" si="21">(I132-$R$5)/($Q$5-$R$5)</f>
        <v>0.25</v>
      </c>
      <c r="W132" s="417">
        <f t="shared" ref="W132:W195" si="22">(J132-$R$7)/($Q$7-$R$7)</f>
        <v>-0.10000000000000006</v>
      </c>
      <c r="X132" s="418">
        <f t="shared" ref="X132:X195" si="23">(K132-$R$8)/($Q$8-$R$8)</f>
        <v>-0.1486486486486488</v>
      </c>
      <c r="Y132" s="419">
        <f t="shared" ref="Y132:Y195" si="24">(L132-$R$9)/($Q$9-$R$9)</f>
        <v>-0.18518518518518512</v>
      </c>
      <c r="Z132" s="419">
        <f t="shared" si="16"/>
        <v>-8.792502102671336E-2</v>
      </c>
      <c r="AB132" s="429">
        <f t="shared" si="18"/>
        <v>0</v>
      </c>
      <c r="AC132" s="430">
        <f t="shared" si="18"/>
        <v>0</v>
      </c>
      <c r="AD132" s="430">
        <f t="shared" si="18"/>
        <v>0.25</v>
      </c>
      <c r="AE132" s="432">
        <f t="shared" si="18"/>
        <v>0</v>
      </c>
      <c r="AF132" s="433">
        <f t="shared" si="17"/>
        <v>0</v>
      </c>
      <c r="AG132" s="434">
        <f t="shared" si="17"/>
        <v>0</v>
      </c>
      <c r="AH132" s="434">
        <f t="shared" si="17"/>
        <v>0</v>
      </c>
    </row>
    <row r="133" spans="1:34" ht="33" customHeight="1" x14ac:dyDescent="0.35">
      <c r="A133" s="413" t="s">
        <v>251</v>
      </c>
      <c r="B133" s="260" t="s">
        <v>158</v>
      </c>
      <c r="C133" s="259" t="s">
        <v>351</v>
      </c>
      <c r="D133" s="260" t="s">
        <v>918</v>
      </c>
      <c r="E133" s="260" t="s">
        <v>352</v>
      </c>
      <c r="F133" s="414"/>
      <c r="G133" s="429">
        <v>1</v>
      </c>
      <c r="H133" s="430">
        <v>0</v>
      </c>
      <c r="I133" s="431">
        <v>1</v>
      </c>
      <c r="J133" s="432">
        <v>0.15</v>
      </c>
      <c r="K133" s="433">
        <v>0.24324324324324323</v>
      </c>
      <c r="L133" s="434">
        <v>0.38888888888888884</v>
      </c>
      <c r="M133" s="435">
        <v>59.8714073048084</v>
      </c>
      <c r="N133" s="420">
        <v>-59.8714073048084</v>
      </c>
      <c r="T133" s="415">
        <f t="shared" si="19"/>
        <v>0.25</v>
      </c>
      <c r="U133" s="416">
        <f t="shared" si="20"/>
        <v>0</v>
      </c>
      <c r="V133" s="416">
        <f t="shared" si="21"/>
        <v>0.25</v>
      </c>
      <c r="W133" s="417">
        <f t="shared" si="22"/>
        <v>1.5789473684210468E-2</v>
      </c>
      <c r="X133" s="418">
        <f t="shared" si="23"/>
        <v>5.4054054054054022E-2</v>
      </c>
      <c r="Y133" s="419">
        <f t="shared" si="24"/>
        <v>0.18518518518518512</v>
      </c>
      <c r="Z133" s="419">
        <f t="shared" ref="Z133:Z196" si="25">(N133-$R$11)/($Q$11-$R$11)</f>
        <v>0.27594805662415667</v>
      </c>
      <c r="AB133" s="429">
        <f t="shared" si="18"/>
        <v>0.25</v>
      </c>
      <c r="AC133" s="430">
        <f t="shared" si="18"/>
        <v>0</v>
      </c>
      <c r="AD133" s="430">
        <f t="shared" si="18"/>
        <v>0.25</v>
      </c>
      <c r="AE133" s="432">
        <f t="shared" si="18"/>
        <v>1.5789473684210468E-2</v>
      </c>
      <c r="AF133" s="433">
        <f t="shared" si="17"/>
        <v>5.4054054054054022E-2</v>
      </c>
      <c r="AG133" s="434">
        <f t="shared" si="17"/>
        <v>0.18518518518518512</v>
      </c>
      <c r="AH133" s="434">
        <f t="shared" si="17"/>
        <v>0.27594805662415667</v>
      </c>
    </row>
    <row r="134" spans="1:34" ht="33" customHeight="1" x14ac:dyDescent="0.35">
      <c r="A134" s="413" t="s">
        <v>251</v>
      </c>
      <c r="B134" s="260" t="s">
        <v>161</v>
      </c>
      <c r="C134" s="259" t="s">
        <v>353</v>
      </c>
      <c r="D134" s="260" t="s">
        <v>918</v>
      </c>
      <c r="E134" s="260" t="s">
        <v>354</v>
      </c>
      <c r="F134" s="414"/>
      <c r="G134" s="429">
        <v>2</v>
      </c>
      <c r="H134" s="430">
        <v>0</v>
      </c>
      <c r="I134" s="431">
        <v>0</v>
      </c>
      <c r="J134" s="432">
        <v>0</v>
      </c>
      <c r="K134" s="433">
        <v>0.13513513513513517</v>
      </c>
      <c r="L134" s="434">
        <v>0.22222222222222215</v>
      </c>
      <c r="M134" s="435">
        <v>125.47201089384797</v>
      </c>
      <c r="N134" s="420">
        <v>-125.47201089384797</v>
      </c>
      <c r="T134" s="415">
        <f t="shared" si="19"/>
        <v>0.5</v>
      </c>
      <c r="U134" s="416">
        <f t="shared" si="20"/>
        <v>0</v>
      </c>
      <c r="V134" s="416">
        <f t="shared" si="21"/>
        <v>0</v>
      </c>
      <c r="W134" s="417">
        <f t="shared" si="22"/>
        <v>-0.15789473684210534</v>
      </c>
      <c r="X134" s="418">
        <f t="shared" si="23"/>
        <v>-8.1081081081081044E-2</v>
      </c>
      <c r="Y134" s="419">
        <f t="shared" si="24"/>
        <v>-3.7037037037037125E-2</v>
      </c>
      <c r="Z134" s="419">
        <f t="shared" si="25"/>
        <v>-0.33351833042077983</v>
      </c>
      <c r="AB134" s="429">
        <f t="shared" si="18"/>
        <v>0.5</v>
      </c>
      <c r="AC134" s="430">
        <f t="shared" si="18"/>
        <v>0</v>
      </c>
      <c r="AD134" s="430">
        <f t="shared" si="18"/>
        <v>0</v>
      </c>
      <c r="AE134" s="432">
        <f t="shared" si="18"/>
        <v>0</v>
      </c>
      <c r="AF134" s="433">
        <f t="shared" si="17"/>
        <v>0</v>
      </c>
      <c r="AG134" s="434">
        <f t="shared" si="17"/>
        <v>0</v>
      </c>
      <c r="AH134" s="434">
        <f t="shared" si="17"/>
        <v>0</v>
      </c>
    </row>
    <row r="135" spans="1:34" ht="33" customHeight="1" x14ac:dyDescent="0.35">
      <c r="A135" s="413" t="s">
        <v>251</v>
      </c>
      <c r="B135" s="260" t="s">
        <v>164</v>
      </c>
      <c r="C135" s="259" t="s">
        <v>355</v>
      </c>
      <c r="D135" s="461" t="s">
        <v>993</v>
      </c>
      <c r="E135" s="260" t="s">
        <v>356</v>
      </c>
      <c r="F135" s="414" t="s">
        <v>928</v>
      </c>
      <c r="G135" s="429">
        <v>3</v>
      </c>
      <c r="H135" s="430">
        <v>4</v>
      </c>
      <c r="I135" s="431">
        <v>4</v>
      </c>
      <c r="J135" s="432">
        <v>0.2</v>
      </c>
      <c r="K135" s="433">
        <v>0.24324324324324323</v>
      </c>
      <c r="L135" s="434">
        <v>0.55555555555555558</v>
      </c>
      <c r="M135" s="463">
        <v>88.831405964698718</v>
      </c>
      <c r="N135" s="420">
        <v>-88.831405964698718</v>
      </c>
      <c r="T135" s="415">
        <f t="shared" si="19"/>
        <v>0.75</v>
      </c>
      <c r="U135" s="416">
        <f t="shared" si="20"/>
        <v>1</v>
      </c>
      <c r="V135" s="416">
        <f t="shared" si="21"/>
        <v>1</v>
      </c>
      <c r="W135" s="417">
        <f t="shared" si="22"/>
        <v>7.3684210526315755E-2</v>
      </c>
      <c r="X135" s="418">
        <f t="shared" si="23"/>
        <v>5.4054054054054022E-2</v>
      </c>
      <c r="Y135" s="419">
        <f t="shared" si="24"/>
        <v>0.40740740740740744</v>
      </c>
      <c r="Z135" s="419">
        <f t="shared" si="25"/>
        <v>6.89343233075291E-3</v>
      </c>
      <c r="AB135" s="429">
        <f t="shared" si="18"/>
        <v>0.75</v>
      </c>
      <c r="AC135" s="430">
        <f t="shared" si="18"/>
        <v>1</v>
      </c>
      <c r="AD135" s="430">
        <f t="shared" si="18"/>
        <v>1</v>
      </c>
      <c r="AE135" s="432">
        <f t="shared" si="18"/>
        <v>7.3684210526315755E-2</v>
      </c>
      <c r="AF135" s="433">
        <f t="shared" si="17"/>
        <v>5.4054054054054022E-2</v>
      </c>
      <c r="AG135" s="434">
        <f t="shared" si="17"/>
        <v>0.40740740740740744</v>
      </c>
      <c r="AH135" s="434">
        <f t="shared" si="17"/>
        <v>6.89343233075291E-3</v>
      </c>
    </row>
    <row r="136" spans="1:34" ht="33" customHeight="1" x14ac:dyDescent="0.35">
      <c r="A136" s="413" t="s">
        <v>251</v>
      </c>
      <c r="B136" s="260" t="s">
        <v>167</v>
      </c>
      <c r="C136" s="259" t="s">
        <v>357</v>
      </c>
      <c r="D136" s="260" t="s">
        <v>931</v>
      </c>
      <c r="E136" s="260" t="s">
        <v>358</v>
      </c>
      <c r="F136" s="414" t="s">
        <v>932</v>
      </c>
      <c r="G136" s="429">
        <v>0</v>
      </c>
      <c r="H136" s="430">
        <v>0</v>
      </c>
      <c r="I136" s="431">
        <v>0</v>
      </c>
      <c r="J136" s="432">
        <v>1</v>
      </c>
      <c r="K136" s="433">
        <v>1</v>
      </c>
      <c r="L136" s="434">
        <v>1</v>
      </c>
      <c r="M136" s="435">
        <v>76.514989195512499</v>
      </c>
      <c r="N136" s="420">
        <v>-76.514989195512499</v>
      </c>
      <c r="T136" s="415">
        <f t="shared" si="19"/>
        <v>0</v>
      </c>
      <c r="U136" s="416">
        <f t="shared" si="20"/>
        <v>0</v>
      </c>
      <c r="V136" s="416">
        <f t="shared" si="21"/>
        <v>0</v>
      </c>
      <c r="W136" s="417">
        <f t="shared" si="22"/>
        <v>1</v>
      </c>
      <c r="X136" s="418">
        <f t="shared" si="23"/>
        <v>1</v>
      </c>
      <c r="Y136" s="419">
        <f t="shared" si="24"/>
        <v>1</v>
      </c>
      <c r="Z136" s="419">
        <f t="shared" si="25"/>
        <v>0.12131984945155144</v>
      </c>
      <c r="AB136" s="429">
        <f t="shared" si="18"/>
        <v>0</v>
      </c>
      <c r="AC136" s="430">
        <f t="shared" si="18"/>
        <v>0</v>
      </c>
      <c r="AD136" s="430">
        <f t="shared" si="18"/>
        <v>0</v>
      </c>
      <c r="AE136" s="432">
        <f t="shared" si="18"/>
        <v>1</v>
      </c>
      <c r="AF136" s="433">
        <f t="shared" si="17"/>
        <v>1</v>
      </c>
      <c r="AG136" s="434">
        <f t="shared" si="17"/>
        <v>1</v>
      </c>
      <c r="AH136" s="434">
        <f t="shared" si="17"/>
        <v>0.12131984945155144</v>
      </c>
    </row>
    <row r="137" spans="1:34" ht="33" customHeight="1" x14ac:dyDescent="0.35">
      <c r="A137" s="413" t="s">
        <v>251</v>
      </c>
      <c r="B137" s="260" t="s">
        <v>170</v>
      </c>
      <c r="C137" s="259" t="s">
        <v>359</v>
      </c>
      <c r="D137" s="260" t="s">
        <v>921</v>
      </c>
      <c r="E137" s="260" t="s">
        <v>360</v>
      </c>
      <c r="F137" s="414" t="s">
        <v>922</v>
      </c>
      <c r="G137" s="429">
        <v>2</v>
      </c>
      <c r="H137" s="430">
        <v>4</v>
      </c>
      <c r="I137" s="431">
        <v>4</v>
      </c>
      <c r="J137" s="432">
        <v>0.9</v>
      </c>
      <c r="K137" s="433">
        <v>1</v>
      </c>
      <c r="L137" s="434">
        <v>1</v>
      </c>
      <c r="M137" s="476">
        <v>46.591600730371269</v>
      </c>
      <c r="N137" s="513">
        <v>-46.591600730371269</v>
      </c>
      <c r="T137" s="415">
        <f t="shared" si="19"/>
        <v>0.5</v>
      </c>
      <c r="U137" s="416">
        <f t="shared" si="20"/>
        <v>1</v>
      </c>
      <c r="V137" s="416">
        <f t="shared" si="21"/>
        <v>1</v>
      </c>
      <c r="W137" s="417">
        <f t="shared" si="22"/>
        <v>0.88421052631578967</v>
      </c>
      <c r="X137" s="418">
        <f t="shared" si="23"/>
        <v>1</v>
      </c>
      <c r="Y137" s="419">
        <f t="shared" si="24"/>
        <v>1</v>
      </c>
      <c r="Z137" s="419">
        <f t="shared" si="25"/>
        <v>0.39932490517086816</v>
      </c>
      <c r="AB137" s="429">
        <f t="shared" si="18"/>
        <v>0.5</v>
      </c>
      <c r="AC137" s="430">
        <f t="shared" si="18"/>
        <v>1</v>
      </c>
      <c r="AD137" s="430">
        <f t="shared" si="18"/>
        <v>1</v>
      </c>
      <c r="AE137" s="432">
        <f t="shared" si="18"/>
        <v>0.88421052631578967</v>
      </c>
      <c r="AF137" s="433">
        <f t="shared" si="17"/>
        <v>1</v>
      </c>
      <c r="AG137" s="434">
        <f t="shared" si="17"/>
        <v>1</v>
      </c>
      <c r="AH137" s="470">
        <f t="shared" si="17"/>
        <v>0.39932490517086816</v>
      </c>
    </row>
    <row r="138" spans="1:34" ht="33" customHeight="1" x14ac:dyDescent="0.35">
      <c r="A138" s="413" t="s">
        <v>251</v>
      </c>
      <c r="B138" s="260" t="s">
        <v>173</v>
      </c>
      <c r="C138" s="259" t="s">
        <v>361</v>
      </c>
      <c r="D138" s="260" t="s">
        <v>938</v>
      </c>
      <c r="E138" s="260" t="s">
        <v>362</v>
      </c>
      <c r="F138" s="414"/>
      <c r="G138" s="429">
        <v>0</v>
      </c>
      <c r="H138" s="430">
        <v>0</v>
      </c>
      <c r="I138" s="431">
        <v>0</v>
      </c>
      <c r="J138" s="432">
        <v>0.2</v>
      </c>
      <c r="K138" s="433">
        <v>0.24324324324324323</v>
      </c>
      <c r="L138" s="434">
        <v>0.38888888888888884</v>
      </c>
      <c r="M138" s="435">
        <v>75.190902731759763</v>
      </c>
      <c r="N138" s="420">
        <v>-75.190902731759763</v>
      </c>
      <c r="T138" s="415">
        <f t="shared" si="19"/>
        <v>0</v>
      </c>
      <c r="U138" s="416">
        <f t="shared" si="20"/>
        <v>0</v>
      </c>
      <c r="V138" s="416">
        <f t="shared" si="21"/>
        <v>0</v>
      </c>
      <c r="W138" s="417">
        <f t="shared" si="22"/>
        <v>7.3684210526315755E-2</v>
      </c>
      <c r="X138" s="418">
        <f t="shared" si="23"/>
        <v>5.4054054054054022E-2</v>
      </c>
      <c r="Y138" s="419">
        <f t="shared" si="24"/>
        <v>0.18518518518518512</v>
      </c>
      <c r="Z138" s="419">
        <f t="shared" si="25"/>
        <v>0.13362135506351072</v>
      </c>
      <c r="AB138" s="429">
        <f t="shared" si="18"/>
        <v>0</v>
      </c>
      <c r="AC138" s="430">
        <f t="shared" si="18"/>
        <v>0</v>
      </c>
      <c r="AD138" s="430">
        <f t="shared" si="18"/>
        <v>0</v>
      </c>
      <c r="AE138" s="432">
        <f t="shared" si="18"/>
        <v>7.3684210526315755E-2</v>
      </c>
      <c r="AF138" s="433">
        <f t="shared" si="17"/>
        <v>5.4054054054054022E-2</v>
      </c>
      <c r="AG138" s="434">
        <f t="shared" si="17"/>
        <v>0.18518518518518512</v>
      </c>
      <c r="AH138" s="434">
        <f t="shared" si="17"/>
        <v>0.13362135506351072</v>
      </c>
    </row>
    <row r="139" spans="1:34" ht="33" customHeight="1" x14ac:dyDescent="0.35">
      <c r="A139" s="413" t="s">
        <v>251</v>
      </c>
      <c r="B139" s="260" t="s">
        <v>176</v>
      </c>
      <c r="C139" s="259" t="s">
        <v>363</v>
      </c>
      <c r="D139" s="260" t="s">
        <v>918</v>
      </c>
      <c r="E139" s="260" t="s">
        <v>364</v>
      </c>
      <c r="F139" s="414"/>
      <c r="G139" s="429">
        <v>0</v>
      </c>
      <c r="H139" s="430">
        <v>0</v>
      </c>
      <c r="I139" s="431">
        <v>0</v>
      </c>
      <c r="J139" s="432">
        <v>0.15</v>
      </c>
      <c r="K139" s="433">
        <v>0.13513513513513517</v>
      </c>
      <c r="L139" s="434">
        <v>0.27777777777777785</v>
      </c>
      <c r="M139" s="435">
        <v>67.688732550056372</v>
      </c>
      <c r="N139" s="420">
        <v>-67.688732550056372</v>
      </c>
      <c r="T139" s="415">
        <f t="shared" si="19"/>
        <v>0</v>
      </c>
      <c r="U139" s="416">
        <f t="shared" si="20"/>
        <v>0</v>
      </c>
      <c r="V139" s="416">
        <f t="shared" si="21"/>
        <v>0</v>
      </c>
      <c r="W139" s="417">
        <f t="shared" si="22"/>
        <v>1.5789473684210468E-2</v>
      </c>
      <c r="X139" s="418">
        <f t="shared" si="23"/>
        <v>-8.1081081081081044E-2</v>
      </c>
      <c r="Y139" s="419">
        <f t="shared" si="24"/>
        <v>3.7037037037037125E-2</v>
      </c>
      <c r="Z139" s="419">
        <f t="shared" si="25"/>
        <v>0.20332072222608596</v>
      </c>
      <c r="AB139" s="429">
        <f t="shared" si="18"/>
        <v>0</v>
      </c>
      <c r="AC139" s="430">
        <f t="shared" si="18"/>
        <v>0</v>
      </c>
      <c r="AD139" s="430">
        <f t="shared" si="18"/>
        <v>0</v>
      </c>
      <c r="AE139" s="432">
        <f t="shared" si="18"/>
        <v>1.5789473684210468E-2</v>
      </c>
      <c r="AF139" s="433">
        <f t="shared" si="17"/>
        <v>0</v>
      </c>
      <c r="AG139" s="434">
        <f t="shared" si="17"/>
        <v>3.7037037037037125E-2</v>
      </c>
      <c r="AH139" s="434">
        <f t="shared" si="17"/>
        <v>0.20332072222608596</v>
      </c>
    </row>
    <row r="140" spans="1:34" ht="33" customHeight="1" x14ac:dyDescent="0.35">
      <c r="A140" s="413" t="s">
        <v>251</v>
      </c>
      <c r="B140" s="260" t="s">
        <v>179</v>
      </c>
      <c r="C140" s="259" t="s">
        <v>365</v>
      </c>
      <c r="D140" s="260" t="s">
        <v>918</v>
      </c>
      <c r="E140" s="260" t="s">
        <v>366</v>
      </c>
      <c r="F140" s="414"/>
      <c r="G140" s="429">
        <v>0</v>
      </c>
      <c r="H140" s="430">
        <v>0</v>
      </c>
      <c r="I140" s="431">
        <v>0</v>
      </c>
      <c r="J140" s="432">
        <v>0.05</v>
      </c>
      <c r="K140" s="433">
        <v>0.13513513513513517</v>
      </c>
      <c r="L140" s="434">
        <v>0.22222222222222215</v>
      </c>
      <c r="M140" s="435">
        <v>73.332757181038446</v>
      </c>
      <c r="N140" s="420">
        <v>-73.332757181038446</v>
      </c>
      <c r="T140" s="415">
        <f t="shared" si="19"/>
        <v>0</v>
      </c>
      <c r="U140" s="416">
        <f t="shared" si="20"/>
        <v>0</v>
      </c>
      <c r="V140" s="416">
        <f t="shared" si="21"/>
        <v>0</v>
      </c>
      <c r="W140" s="417">
        <f t="shared" si="22"/>
        <v>-0.10000000000000006</v>
      </c>
      <c r="X140" s="418">
        <f t="shared" si="23"/>
        <v>-8.1081081081081044E-2</v>
      </c>
      <c r="Y140" s="419">
        <f t="shared" si="24"/>
        <v>-3.7037037037037125E-2</v>
      </c>
      <c r="Z140" s="419">
        <f t="shared" si="25"/>
        <v>0.15088456901953226</v>
      </c>
      <c r="AB140" s="429">
        <f t="shared" si="18"/>
        <v>0</v>
      </c>
      <c r="AC140" s="430">
        <f t="shared" si="18"/>
        <v>0</v>
      </c>
      <c r="AD140" s="430">
        <f t="shared" si="18"/>
        <v>0</v>
      </c>
      <c r="AE140" s="432">
        <f t="shared" si="18"/>
        <v>0</v>
      </c>
      <c r="AF140" s="433">
        <f t="shared" si="17"/>
        <v>0</v>
      </c>
      <c r="AG140" s="434">
        <f t="shared" si="17"/>
        <v>0</v>
      </c>
      <c r="AH140" s="434">
        <f t="shared" si="17"/>
        <v>0.15088456901953226</v>
      </c>
    </row>
    <row r="141" spans="1:34" ht="33" customHeight="1" x14ac:dyDescent="0.35">
      <c r="A141" s="413" t="s">
        <v>251</v>
      </c>
      <c r="B141" s="260" t="s">
        <v>182</v>
      </c>
      <c r="C141" s="259" t="s">
        <v>367</v>
      </c>
      <c r="D141" s="260" t="s">
        <v>918</v>
      </c>
      <c r="E141" s="260" t="s">
        <v>368</v>
      </c>
      <c r="F141" s="414"/>
      <c r="G141" s="429">
        <v>0</v>
      </c>
      <c r="H141" s="430">
        <v>0</v>
      </c>
      <c r="I141" s="431">
        <v>0</v>
      </c>
      <c r="J141" s="432">
        <v>0.05</v>
      </c>
      <c r="K141" s="433">
        <v>0.13513513513513517</v>
      </c>
      <c r="L141" s="434">
        <v>0.22222222222222215</v>
      </c>
      <c r="M141" s="435">
        <v>80.96384718091079</v>
      </c>
      <c r="N141" s="420">
        <v>-80.96384718091079</v>
      </c>
      <c r="T141" s="415">
        <f t="shared" si="19"/>
        <v>0</v>
      </c>
      <c r="U141" s="416">
        <f t="shared" si="20"/>
        <v>0</v>
      </c>
      <c r="V141" s="416">
        <f t="shared" si="21"/>
        <v>0</v>
      </c>
      <c r="W141" s="417">
        <f t="shared" si="22"/>
        <v>-0.10000000000000006</v>
      </c>
      <c r="X141" s="418">
        <f t="shared" si="23"/>
        <v>-8.1081081081081044E-2</v>
      </c>
      <c r="Y141" s="419">
        <f t="shared" si="24"/>
        <v>-3.7037037037037125E-2</v>
      </c>
      <c r="Z141" s="419">
        <f t="shared" si="25"/>
        <v>7.9987464465847855E-2</v>
      </c>
      <c r="AB141" s="429">
        <f t="shared" si="18"/>
        <v>0</v>
      </c>
      <c r="AC141" s="430">
        <f t="shared" si="18"/>
        <v>0</v>
      </c>
      <c r="AD141" s="430">
        <f t="shared" si="18"/>
        <v>0</v>
      </c>
      <c r="AE141" s="432">
        <f t="shared" si="18"/>
        <v>0</v>
      </c>
      <c r="AF141" s="433">
        <f t="shared" si="17"/>
        <v>0</v>
      </c>
      <c r="AG141" s="434">
        <f t="shared" si="17"/>
        <v>0</v>
      </c>
      <c r="AH141" s="434">
        <f t="shared" si="17"/>
        <v>7.9987464465847855E-2</v>
      </c>
    </row>
    <row r="142" spans="1:34" ht="33" customHeight="1" x14ac:dyDescent="0.35">
      <c r="A142" s="413" t="s">
        <v>251</v>
      </c>
      <c r="B142" s="260" t="s">
        <v>185</v>
      </c>
      <c r="C142" s="259" t="s">
        <v>369</v>
      </c>
      <c r="D142" s="260" t="s">
        <v>918</v>
      </c>
      <c r="E142" s="260" t="s">
        <v>370</v>
      </c>
      <c r="F142" s="414"/>
      <c r="G142" s="429">
        <v>1</v>
      </c>
      <c r="H142" s="430">
        <v>1</v>
      </c>
      <c r="I142" s="431">
        <v>1</v>
      </c>
      <c r="J142" s="432">
        <v>0</v>
      </c>
      <c r="K142" s="433">
        <v>8.1081081081080975E-2</v>
      </c>
      <c r="L142" s="434">
        <v>0.11111111111111115</v>
      </c>
      <c r="M142" s="435">
        <v>56.845976721029558</v>
      </c>
      <c r="N142" s="420">
        <v>-56.845976721029558</v>
      </c>
      <c r="T142" s="415">
        <f t="shared" si="19"/>
        <v>0.25</v>
      </c>
      <c r="U142" s="416">
        <f t="shared" si="20"/>
        <v>0.25</v>
      </c>
      <c r="V142" s="416">
        <f t="shared" si="21"/>
        <v>0.25</v>
      </c>
      <c r="W142" s="417">
        <f t="shared" si="22"/>
        <v>-0.15789473684210534</v>
      </c>
      <c r="X142" s="418">
        <f t="shared" si="23"/>
        <v>-0.1486486486486488</v>
      </c>
      <c r="Y142" s="419">
        <f t="shared" si="24"/>
        <v>-0.18518518518518512</v>
      </c>
      <c r="Z142" s="419">
        <f t="shared" si="25"/>
        <v>0.30405600298852548</v>
      </c>
      <c r="AB142" s="429">
        <f t="shared" si="18"/>
        <v>0.25</v>
      </c>
      <c r="AC142" s="430">
        <f t="shared" si="18"/>
        <v>0.25</v>
      </c>
      <c r="AD142" s="430">
        <f t="shared" si="18"/>
        <v>0.25</v>
      </c>
      <c r="AE142" s="432">
        <f t="shared" si="18"/>
        <v>0</v>
      </c>
      <c r="AF142" s="433">
        <f t="shared" si="17"/>
        <v>0</v>
      </c>
      <c r="AG142" s="434">
        <f t="shared" si="17"/>
        <v>0</v>
      </c>
      <c r="AH142" s="434">
        <f t="shared" si="17"/>
        <v>0.30405600298852548</v>
      </c>
    </row>
    <row r="143" spans="1:34" ht="33" customHeight="1" x14ac:dyDescent="0.35">
      <c r="A143" s="413" t="s">
        <v>251</v>
      </c>
      <c r="B143" s="260" t="s">
        <v>188</v>
      </c>
      <c r="C143" s="259" t="s">
        <v>371</v>
      </c>
      <c r="D143" s="260" t="s">
        <v>918</v>
      </c>
      <c r="E143" s="260" t="s">
        <v>372</v>
      </c>
      <c r="F143" s="414"/>
      <c r="G143" s="429">
        <v>0</v>
      </c>
      <c r="H143" s="430">
        <v>0</v>
      </c>
      <c r="I143" s="431">
        <v>0</v>
      </c>
      <c r="J143" s="432">
        <v>0.05</v>
      </c>
      <c r="K143" s="433">
        <v>8.1081081081080975E-2</v>
      </c>
      <c r="L143" s="434">
        <v>0.11111111111111115</v>
      </c>
      <c r="M143" s="435">
        <v>96.404457895573671</v>
      </c>
      <c r="N143" s="420">
        <v>-96.404457895573671</v>
      </c>
      <c r="T143" s="415">
        <f t="shared" si="19"/>
        <v>0</v>
      </c>
      <c r="U143" s="416">
        <f t="shared" si="20"/>
        <v>0</v>
      </c>
      <c r="V143" s="416">
        <f t="shared" si="21"/>
        <v>0</v>
      </c>
      <c r="W143" s="417">
        <f t="shared" si="22"/>
        <v>-0.10000000000000006</v>
      </c>
      <c r="X143" s="418">
        <f t="shared" si="23"/>
        <v>-0.1486486486486488</v>
      </c>
      <c r="Y143" s="419">
        <f t="shared" si="24"/>
        <v>-0.18518518518518512</v>
      </c>
      <c r="Z143" s="419">
        <f t="shared" si="25"/>
        <v>-6.3464466022261495E-2</v>
      </c>
      <c r="AB143" s="429">
        <f t="shared" si="18"/>
        <v>0</v>
      </c>
      <c r="AC143" s="430">
        <f t="shared" si="18"/>
        <v>0</v>
      </c>
      <c r="AD143" s="430">
        <f t="shared" si="18"/>
        <v>0</v>
      </c>
      <c r="AE143" s="432">
        <f t="shared" si="18"/>
        <v>0</v>
      </c>
      <c r="AF143" s="433">
        <f t="shared" si="17"/>
        <v>0</v>
      </c>
      <c r="AG143" s="434">
        <f t="shared" si="17"/>
        <v>0</v>
      </c>
      <c r="AH143" s="434">
        <f t="shared" si="17"/>
        <v>0</v>
      </c>
    </row>
    <row r="144" spans="1:34" ht="33" customHeight="1" x14ac:dyDescent="0.35">
      <c r="A144" s="413" t="s">
        <v>251</v>
      </c>
      <c r="B144" s="260" t="s">
        <v>191</v>
      </c>
      <c r="C144" s="259" t="s">
        <v>373</v>
      </c>
      <c r="D144" s="260" t="s">
        <v>916</v>
      </c>
      <c r="E144" s="260" t="s">
        <v>374</v>
      </c>
      <c r="F144" s="414"/>
      <c r="G144" s="429">
        <v>1</v>
      </c>
      <c r="H144" s="430">
        <v>0</v>
      </c>
      <c r="I144" s="431">
        <v>0</v>
      </c>
      <c r="J144" s="432">
        <v>0.2</v>
      </c>
      <c r="K144" s="433">
        <v>0.1891891891891892</v>
      </c>
      <c r="L144" s="434">
        <v>0.33333333333333343</v>
      </c>
      <c r="M144" s="435">
        <v>83.952416590168724</v>
      </c>
      <c r="N144" s="420">
        <v>-83.952416590168724</v>
      </c>
      <c r="T144" s="415">
        <f t="shared" si="19"/>
        <v>0.25</v>
      </c>
      <c r="U144" s="416">
        <f t="shared" si="20"/>
        <v>0</v>
      </c>
      <c r="V144" s="416">
        <f t="shared" si="21"/>
        <v>0</v>
      </c>
      <c r="W144" s="417">
        <f t="shared" si="22"/>
        <v>7.3684210526315755E-2</v>
      </c>
      <c r="X144" s="418">
        <f t="shared" si="23"/>
        <v>-1.3513513513513514E-2</v>
      </c>
      <c r="Y144" s="419">
        <f t="shared" si="24"/>
        <v>0.11111111111111123</v>
      </c>
      <c r="Z144" s="419">
        <f t="shared" si="25"/>
        <v>5.2221979079402799E-2</v>
      </c>
      <c r="AB144" s="429">
        <f t="shared" si="18"/>
        <v>0.25</v>
      </c>
      <c r="AC144" s="430">
        <f t="shared" si="18"/>
        <v>0</v>
      </c>
      <c r="AD144" s="430">
        <f t="shared" si="18"/>
        <v>0</v>
      </c>
      <c r="AE144" s="432">
        <f t="shared" si="18"/>
        <v>7.3684210526315755E-2</v>
      </c>
      <c r="AF144" s="433">
        <f t="shared" si="17"/>
        <v>0</v>
      </c>
      <c r="AG144" s="434">
        <f t="shared" si="17"/>
        <v>0.11111111111111123</v>
      </c>
      <c r="AH144" s="434">
        <f t="shared" si="17"/>
        <v>5.2221979079402799E-2</v>
      </c>
    </row>
    <row r="145" spans="1:34" ht="33" customHeight="1" x14ac:dyDescent="0.35">
      <c r="A145" s="413" t="s">
        <v>251</v>
      </c>
      <c r="B145" s="260" t="s">
        <v>194</v>
      </c>
      <c r="C145" s="259" t="s">
        <v>375</v>
      </c>
      <c r="D145" s="461" t="s">
        <v>993</v>
      </c>
      <c r="E145" s="260" t="s">
        <v>376</v>
      </c>
      <c r="F145" s="414" t="s">
        <v>929</v>
      </c>
      <c r="G145" s="429">
        <v>2</v>
      </c>
      <c r="H145" s="430">
        <v>4</v>
      </c>
      <c r="I145" s="431">
        <v>4</v>
      </c>
      <c r="J145" s="432">
        <v>0.2</v>
      </c>
      <c r="K145" s="433">
        <v>0.29729729729729726</v>
      </c>
      <c r="L145" s="434">
        <v>0.55555555555555558</v>
      </c>
      <c r="M145" s="463">
        <v>101.97808886183807</v>
      </c>
      <c r="N145" s="420">
        <v>-101.97808886183807</v>
      </c>
      <c r="T145" s="415">
        <f t="shared" si="19"/>
        <v>0.5</v>
      </c>
      <c r="U145" s="416">
        <f t="shared" si="20"/>
        <v>1</v>
      </c>
      <c r="V145" s="416">
        <f t="shared" si="21"/>
        <v>1</v>
      </c>
      <c r="W145" s="417">
        <f t="shared" si="22"/>
        <v>7.3684210526315755E-2</v>
      </c>
      <c r="X145" s="418">
        <f t="shared" si="23"/>
        <v>0.12162162162162156</v>
      </c>
      <c r="Y145" s="419">
        <f t="shared" si="24"/>
        <v>0.40740740740740744</v>
      </c>
      <c r="Z145" s="419">
        <f t="shared" si="25"/>
        <v>-0.11524662261660264</v>
      </c>
      <c r="AB145" s="429">
        <f t="shared" si="18"/>
        <v>0.5</v>
      </c>
      <c r="AC145" s="430">
        <f t="shared" si="18"/>
        <v>1</v>
      </c>
      <c r="AD145" s="430">
        <f t="shared" si="18"/>
        <v>1</v>
      </c>
      <c r="AE145" s="432">
        <f t="shared" si="18"/>
        <v>7.3684210526315755E-2</v>
      </c>
      <c r="AF145" s="433">
        <f t="shared" si="17"/>
        <v>0.12162162162162156</v>
      </c>
      <c r="AG145" s="434">
        <f t="shared" si="17"/>
        <v>0.40740740740740744</v>
      </c>
      <c r="AH145" s="434">
        <f t="shared" si="17"/>
        <v>0</v>
      </c>
    </row>
    <row r="146" spans="1:34" ht="33" customHeight="1" x14ac:dyDescent="0.35">
      <c r="A146" s="413" t="s">
        <v>251</v>
      </c>
      <c r="B146" s="260" t="s">
        <v>197</v>
      </c>
      <c r="C146" s="259" t="s">
        <v>377</v>
      </c>
      <c r="D146" s="461" t="s">
        <v>993</v>
      </c>
      <c r="E146" s="260" t="s">
        <v>378</v>
      </c>
      <c r="F146" s="414" t="s">
        <v>948</v>
      </c>
      <c r="G146" s="429">
        <v>0</v>
      </c>
      <c r="H146" s="430">
        <v>0</v>
      </c>
      <c r="I146" s="431">
        <v>0</v>
      </c>
      <c r="J146" s="432">
        <v>0.15</v>
      </c>
      <c r="K146" s="433">
        <v>0.13513513513513517</v>
      </c>
      <c r="L146" s="434">
        <v>0.27777777777777785</v>
      </c>
      <c r="M146" s="435">
        <v>78.334155613633413</v>
      </c>
      <c r="N146" s="420">
        <v>-78.334155613633413</v>
      </c>
      <c r="T146" s="415">
        <f t="shared" si="19"/>
        <v>0</v>
      </c>
      <c r="U146" s="416">
        <f t="shared" si="20"/>
        <v>0</v>
      </c>
      <c r="V146" s="416">
        <f t="shared" si="21"/>
        <v>0</v>
      </c>
      <c r="W146" s="417">
        <f t="shared" si="22"/>
        <v>1.5789473684210468E-2</v>
      </c>
      <c r="X146" s="418">
        <f t="shared" si="23"/>
        <v>-8.1081081081081044E-2</v>
      </c>
      <c r="Y146" s="419">
        <f t="shared" si="24"/>
        <v>3.7037037037037125E-2</v>
      </c>
      <c r="Z146" s="419">
        <f t="shared" si="25"/>
        <v>0.10441877349146873</v>
      </c>
      <c r="AB146" s="429">
        <f t="shared" si="18"/>
        <v>0</v>
      </c>
      <c r="AC146" s="430">
        <f t="shared" si="18"/>
        <v>0</v>
      </c>
      <c r="AD146" s="430">
        <f t="shared" si="18"/>
        <v>0</v>
      </c>
      <c r="AE146" s="432">
        <f t="shared" si="18"/>
        <v>1.5789473684210468E-2</v>
      </c>
      <c r="AF146" s="433">
        <f t="shared" si="17"/>
        <v>0</v>
      </c>
      <c r="AG146" s="434">
        <f t="shared" si="17"/>
        <v>3.7037037037037125E-2</v>
      </c>
      <c r="AH146" s="434">
        <f t="shared" si="17"/>
        <v>0.10441877349146873</v>
      </c>
    </row>
    <row r="147" spans="1:34" ht="33" customHeight="1" x14ac:dyDescent="0.35">
      <c r="A147" s="413" t="s">
        <v>251</v>
      </c>
      <c r="B147" s="260" t="s">
        <v>200</v>
      </c>
      <c r="C147" s="259" t="s">
        <v>379</v>
      </c>
      <c r="D147" s="461" t="s">
        <v>993</v>
      </c>
      <c r="E147" s="260" t="s">
        <v>380</v>
      </c>
      <c r="F147" s="414" t="s">
        <v>936</v>
      </c>
      <c r="G147" s="429">
        <v>3</v>
      </c>
      <c r="H147" s="430">
        <v>2</v>
      </c>
      <c r="I147" s="431">
        <v>2</v>
      </c>
      <c r="J147" s="432">
        <v>0.2</v>
      </c>
      <c r="K147" s="433">
        <v>0.1891891891891892</v>
      </c>
      <c r="L147" s="434">
        <v>0.27777777777777785</v>
      </c>
      <c r="M147" s="435">
        <v>71.722717363426511</v>
      </c>
      <c r="N147" s="420">
        <v>-71.722717363426511</v>
      </c>
      <c r="T147" s="415">
        <f t="shared" si="19"/>
        <v>0.75</v>
      </c>
      <c r="U147" s="416">
        <f t="shared" si="20"/>
        <v>0.5</v>
      </c>
      <c r="V147" s="416">
        <f t="shared" si="21"/>
        <v>0.5</v>
      </c>
      <c r="W147" s="417">
        <f t="shared" si="22"/>
        <v>7.3684210526315755E-2</v>
      </c>
      <c r="X147" s="418">
        <f t="shared" si="23"/>
        <v>-1.3513513513513514E-2</v>
      </c>
      <c r="Y147" s="419">
        <f t="shared" si="24"/>
        <v>3.7037037037037125E-2</v>
      </c>
      <c r="Z147" s="419">
        <f t="shared" si="25"/>
        <v>0.16584274161174881</v>
      </c>
      <c r="AB147" s="429">
        <f t="shared" si="18"/>
        <v>0.75</v>
      </c>
      <c r="AC147" s="430">
        <f t="shared" si="18"/>
        <v>0.5</v>
      </c>
      <c r="AD147" s="430">
        <f t="shared" si="18"/>
        <v>0.5</v>
      </c>
      <c r="AE147" s="432">
        <f t="shared" si="18"/>
        <v>7.3684210526315755E-2</v>
      </c>
      <c r="AF147" s="433">
        <f t="shared" si="17"/>
        <v>0</v>
      </c>
      <c r="AG147" s="434">
        <f t="shared" si="17"/>
        <v>3.7037037037037125E-2</v>
      </c>
      <c r="AH147" s="434">
        <f t="shared" si="17"/>
        <v>0.16584274161174881</v>
      </c>
    </row>
    <row r="148" spans="1:34" ht="33" customHeight="1" x14ac:dyDescent="0.35">
      <c r="A148" s="413" t="s">
        <v>251</v>
      </c>
      <c r="B148" s="260" t="s">
        <v>203</v>
      </c>
      <c r="C148" s="259" t="s">
        <v>381</v>
      </c>
      <c r="D148" s="461" t="s">
        <v>993</v>
      </c>
      <c r="E148" s="260" t="s">
        <v>382</v>
      </c>
      <c r="F148" s="414" t="s">
        <v>944</v>
      </c>
      <c r="G148" s="429">
        <v>0</v>
      </c>
      <c r="H148" s="430">
        <v>0</v>
      </c>
      <c r="I148" s="431">
        <v>0</v>
      </c>
      <c r="J148" s="432">
        <v>0.15</v>
      </c>
      <c r="K148" s="433">
        <v>0.1891891891891892</v>
      </c>
      <c r="L148" s="434">
        <v>0.27777777777777785</v>
      </c>
      <c r="M148" s="435">
        <v>71.116154478639984</v>
      </c>
      <c r="N148" s="420">
        <v>-71.116154478639984</v>
      </c>
      <c r="T148" s="415">
        <f t="shared" si="19"/>
        <v>0</v>
      </c>
      <c r="U148" s="416">
        <f t="shared" si="20"/>
        <v>0</v>
      </c>
      <c r="V148" s="416">
        <f t="shared" si="21"/>
        <v>0</v>
      </c>
      <c r="W148" s="417">
        <f t="shared" si="22"/>
        <v>1.5789473684210468E-2</v>
      </c>
      <c r="X148" s="418">
        <f t="shared" si="23"/>
        <v>-1.3513513513513514E-2</v>
      </c>
      <c r="Y148" s="419">
        <f t="shared" si="24"/>
        <v>3.7037037037037125E-2</v>
      </c>
      <c r="Z148" s="419">
        <f t="shared" si="25"/>
        <v>0.17147805088759463</v>
      </c>
      <c r="AB148" s="429">
        <f t="shared" si="18"/>
        <v>0</v>
      </c>
      <c r="AC148" s="430">
        <f t="shared" si="18"/>
        <v>0</v>
      </c>
      <c r="AD148" s="430">
        <f t="shared" si="18"/>
        <v>0</v>
      </c>
      <c r="AE148" s="432">
        <f t="shared" si="18"/>
        <v>1.5789473684210468E-2</v>
      </c>
      <c r="AF148" s="433">
        <f t="shared" si="17"/>
        <v>0</v>
      </c>
      <c r="AG148" s="434">
        <f t="shared" si="17"/>
        <v>3.7037037037037125E-2</v>
      </c>
      <c r="AH148" s="434">
        <f t="shared" si="17"/>
        <v>0.17147805088759463</v>
      </c>
    </row>
    <row r="149" spans="1:34" ht="33" customHeight="1" x14ac:dyDescent="0.35">
      <c r="A149" s="413" t="s">
        <v>251</v>
      </c>
      <c r="B149" s="260" t="s">
        <v>206</v>
      </c>
      <c r="C149" s="259" t="s">
        <v>383</v>
      </c>
      <c r="D149" s="260" t="s">
        <v>918</v>
      </c>
      <c r="E149" s="260" t="s">
        <v>384</v>
      </c>
      <c r="F149" s="414"/>
      <c r="G149" s="429">
        <v>0</v>
      </c>
      <c r="H149" s="430">
        <v>0</v>
      </c>
      <c r="I149" s="431">
        <v>0</v>
      </c>
      <c r="J149" s="432">
        <v>0.05</v>
      </c>
      <c r="K149" s="433">
        <v>8.1081081081080975E-2</v>
      </c>
      <c r="L149" s="434">
        <v>0.16666666666666657</v>
      </c>
      <c r="M149" s="435">
        <v>109.09501609648143</v>
      </c>
      <c r="N149" s="420">
        <v>-109.09501609648143</v>
      </c>
      <c r="T149" s="415">
        <f t="shared" si="19"/>
        <v>0</v>
      </c>
      <c r="U149" s="416">
        <f t="shared" si="20"/>
        <v>0</v>
      </c>
      <c r="V149" s="416">
        <f t="shared" si="21"/>
        <v>0</v>
      </c>
      <c r="W149" s="417">
        <f t="shared" si="22"/>
        <v>-0.10000000000000006</v>
      </c>
      <c r="X149" s="418">
        <f t="shared" si="23"/>
        <v>-0.1486486486486488</v>
      </c>
      <c r="Y149" s="419">
        <f t="shared" si="24"/>
        <v>-0.11111111111111123</v>
      </c>
      <c r="Z149" s="419">
        <f t="shared" si="25"/>
        <v>-0.18136686681027808</v>
      </c>
      <c r="AB149" s="429">
        <f t="shared" si="18"/>
        <v>0</v>
      </c>
      <c r="AC149" s="430">
        <f t="shared" si="18"/>
        <v>0</v>
      </c>
      <c r="AD149" s="430">
        <f t="shared" si="18"/>
        <v>0</v>
      </c>
      <c r="AE149" s="432">
        <f t="shared" si="18"/>
        <v>0</v>
      </c>
      <c r="AF149" s="433">
        <f t="shared" si="17"/>
        <v>0</v>
      </c>
      <c r="AG149" s="434">
        <f t="shared" si="17"/>
        <v>0</v>
      </c>
      <c r="AH149" s="434">
        <f t="shared" si="17"/>
        <v>0</v>
      </c>
    </row>
    <row r="150" spans="1:34" ht="33" customHeight="1" x14ac:dyDescent="0.35">
      <c r="A150" s="413" t="s">
        <v>251</v>
      </c>
      <c r="B150" s="260" t="s">
        <v>209</v>
      </c>
      <c r="C150" s="259" t="s">
        <v>385</v>
      </c>
      <c r="D150" s="260" t="s">
        <v>918</v>
      </c>
      <c r="E150" s="260" t="s">
        <v>386</v>
      </c>
      <c r="F150" s="414"/>
      <c r="G150" s="429">
        <v>1</v>
      </c>
      <c r="H150" s="430">
        <v>0</v>
      </c>
      <c r="I150" s="431">
        <v>0</v>
      </c>
      <c r="J150" s="432">
        <v>0.05</v>
      </c>
      <c r="K150" s="433">
        <v>8.1081081081080975E-2</v>
      </c>
      <c r="L150" s="434">
        <v>0.11111111111111115</v>
      </c>
      <c r="M150" s="435">
        <v>75.155028003467663</v>
      </c>
      <c r="N150" s="420">
        <v>-75.155028003467663</v>
      </c>
      <c r="T150" s="415">
        <f t="shared" si="19"/>
        <v>0.25</v>
      </c>
      <c r="U150" s="416">
        <f t="shared" si="20"/>
        <v>0</v>
      </c>
      <c r="V150" s="416">
        <f t="shared" si="21"/>
        <v>0</v>
      </c>
      <c r="W150" s="417">
        <f t="shared" si="22"/>
        <v>-0.10000000000000006</v>
      </c>
      <c r="X150" s="418">
        <f t="shared" si="23"/>
        <v>-0.1486486486486488</v>
      </c>
      <c r="Y150" s="419">
        <f t="shared" si="24"/>
        <v>-0.18518518518518512</v>
      </c>
      <c r="Z150" s="419">
        <f t="shared" si="25"/>
        <v>0.13395465140290685</v>
      </c>
      <c r="AB150" s="429">
        <f t="shared" si="18"/>
        <v>0.25</v>
      </c>
      <c r="AC150" s="430">
        <f t="shared" si="18"/>
        <v>0</v>
      </c>
      <c r="AD150" s="430">
        <f t="shared" si="18"/>
        <v>0</v>
      </c>
      <c r="AE150" s="432">
        <f t="shared" si="18"/>
        <v>0</v>
      </c>
      <c r="AF150" s="433">
        <f t="shared" si="17"/>
        <v>0</v>
      </c>
      <c r="AG150" s="434">
        <f t="shared" si="17"/>
        <v>0</v>
      </c>
      <c r="AH150" s="434">
        <f t="shared" si="17"/>
        <v>0.13395465140290685</v>
      </c>
    </row>
    <row r="151" spans="1:34" ht="33" customHeight="1" x14ac:dyDescent="0.35">
      <c r="A151" s="413" t="s">
        <v>251</v>
      </c>
      <c r="B151" s="260" t="s">
        <v>212</v>
      </c>
      <c r="C151" s="259" t="s">
        <v>387</v>
      </c>
      <c r="D151" s="260" t="s">
        <v>918</v>
      </c>
      <c r="E151" s="260" t="s">
        <v>388</v>
      </c>
      <c r="F151" s="414"/>
      <c r="G151" s="429">
        <v>0</v>
      </c>
      <c r="H151" s="430">
        <v>0</v>
      </c>
      <c r="I151" s="431">
        <v>0</v>
      </c>
      <c r="J151" s="432">
        <v>0.1</v>
      </c>
      <c r="K151" s="433">
        <v>0.13513513513513517</v>
      </c>
      <c r="L151" s="434">
        <v>5.5555555555555573E-2</v>
      </c>
      <c r="M151" s="435">
        <v>86.50683360625014</v>
      </c>
      <c r="N151" s="420">
        <v>-86.50683360625014</v>
      </c>
      <c r="T151" s="415">
        <f t="shared" si="19"/>
        <v>0</v>
      </c>
      <c r="U151" s="416">
        <f t="shared" si="20"/>
        <v>0</v>
      </c>
      <c r="V151" s="416">
        <f t="shared" si="21"/>
        <v>0</v>
      </c>
      <c r="W151" s="417">
        <f t="shared" si="22"/>
        <v>-4.2105263157894784E-2</v>
      </c>
      <c r="X151" s="418">
        <f t="shared" si="23"/>
        <v>-8.1081081081081044E-2</v>
      </c>
      <c r="Y151" s="419">
        <f t="shared" si="24"/>
        <v>-0.25925925925925924</v>
      </c>
      <c r="Z151" s="419">
        <f t="shared" si="25"/>
        <v>2.8490012837900706E-2</v>
      </c>
      <c r="AB151" s="429">
        <f t="shared" si="18"/>
        <v>0</v>
      </c>
      <c r="AC151" s="430">
        <f t="shared" si="18"/>
        <v>0</v>
      </c>
      <c r="AD151" s="430">
        <f t="shared" si="18"/>
        <v>0</v>
      </c>
      <c r="AE151" s="432">
        <f t="shared" si="18"/>
        <v>0</v>
      </c>
      <c r="AF151" s="433">
        <f t="shared" si="17"/>
        <v>0</v>
      </c>
      <c r="AG151" s="434">
        <f t="shared" si="17"/>
        <v>0</v>
      </c>
      <c r="AH151" s="434">
        <f t="shared" si="17"/>
        <v>2.8490012837900706E-2</v>
      </c>
    </row>
    <row r="152" spans="1:34" ht="33" customHeight="1" x14ac:dyDescent="0.35">
      <c r="A152" s="426" t="s">
        <v>251</v>
      </c>
      <c r="B152" s="427" t="s">
        <v>215</v>
      </c>
      <c r="C152" s="428" t="s">
        <v>389</v>
      </c>
      <c r="D152" s="462" t="s">
        <v>915</v>
      </c>
      <c r="E152" s="260" t="s">
        <v>390</v>
      </c>
      <c r="F152" s="414"/>
      <c r="G152" s="429">
        <v>3</v>
      </c>
      <c r="H152" s="430">
        <v>4</v>
      </c>
      <c r="I152" s="431">
        <v>4</v>
      </c>
      <c r="J152" s="432">
        <v>1</v>
      </c>
      <c r="K152" s="433">
        <v>1</v>
      </c>
      <c r="L152" s="434">
        <v>1</v>
      </c>
      <c r="M152" s="435">
        <v>6.433975848314752</v>
      </c>
      <c r="N152" s="420">
        <v>-6.433975848314752</v>
      </c>
      <c r="T152" s="415">
        <f t="shared" si="19"/>
        <v>0.75</v>
      </c>
      <c r="U152" s="416">
        <f t="shared" si="20"/>
        <v>1</v>
      </c>
      <c r="V152" s="416">
        <f t="shared" si="21"/>
        <v>1</v>
      </c>
      <c r="W152" s="417">
        <f t="shared" si="22"/>
        <v>1</v>
      </c>
      <c r="X152" s="418">
        <f t="shared" si="23"/>
        <v>1</v>
      </c>
      <c r="Y152" s="419">
        <f t="shared" si="24"/>
        <v>1</v>
      </c>
      <c r="Z152" s="419">
        <f t="shared" si="25"/>
        <v>0.77241175514098059</v>
      </c>
      <c r="AB152" s="429">
        <f t="shared" si="18"/>
        <v>0.75</v>
      </c>
      <c r="AC152" s="430">
        <f t="shared" si="18"/>
        <v>1</v>
      </c>
      <c r="AD152" s="430">
        <f t="shared" si="18"/>
        <v>1</v>
      </c>
      <c r="AE152" s="432">
        <f t="shared" si="18"/>
        <v>1</v>
      </c>
      <c r="AF152" s="433">
        <f t="shared" si="17"/>
        <v>1</v>
      </c>
      <c r="AG152" s="434">
        <f t="shared" si="17"/>
        <v>1</v>
      </c>
      <c r="AH152" s="434">
        <f t="shared" si="17"/>
        <v>0.77241175514098059</v>
      </c>
    </row>
    <row r="153" spans="1:34" ht="33" customHeight="1" x14ac:dyDescent="0.35">
      <c r="A153" s="413" t="s">
        <v>251</v>
      </c>
      <c r="B153" s="260" t="s">
        <v>218</v>
      </c>
      <c r="C153" s="259" t="s">
        <v>391</v>
      </c>
      <c r="D153" s="461" t="s">
        <v>993</v>
      </c>
      <c r="E153" s="260" t="s">
        <v>392</v>
      </c>
      <c r="F153" s="414" t="s">
        <v>943</v>
      </c>
      <c r="G153" s="429">
        <v>0</v>
      </c>
      <c r="H153" s="430">
        <v>0</v>
      </c>
      <c r="I153" s="431">
        <v>0</v>
      </c>
      <c r="J153" s="432">
        <v>0</v>
      </c>
      <c r="K153" s="433">
        <v>0.13513513513513517</v>
      </c>
      <c r="L153" s="434">
        <v>0.33333333333333343</v>
      </c>
      <c r="M153" s="435">
        <v>77.407128263541296</v>
      </c>
      <c r="N153" s="420">
        <v>-77.407128263541296</v>
      </c>
      <c r="T153" s="415">
        <f t="shared" si="19"/>
        <v>0</v>
      </c>
      <c r="U153" s="416">
        <f t="shared" si="20"/>
        <v>0</v>
      </c>
      <c r="V153" s="416">
        <f t="shared" si="21"/>
        <v>0</v>
      </c>
      <c r="W153" s="417">
        <f t="shared" si="22"/>
        <v>-0.15789473684210534</v>
      </c>
      <c r="X153" s="418">
        <f t="shared" si="23"/>
        <v>-8.1081081081081044E-2</v>
      </c>
      <c r="Y153" s="419">
        <f t="shared" si="24"/>
        <v>0.11111111111111123</v>
      </c>
      <c r="Z153" s="419">
        <f t="shared" si="25"/>
        <v>0.1130313773219445</v>
      </c>
      <c r="AB153" s="429">
        <f t="shared" si="18"/>
        <v>0</v>
      </c>
      <c r="AC153" s="430">
        <f t="shared" si="18"/>
        <v>0</v>
      </c>
      <c r="AD153" s="430">
        <f t="shared" si="18"/>
        <v>0</v>
      </c>
      <c r="AE153" s="432">
        <f t="shared" si="18"/>
        <v>0</v>
      </c>
      <c r="AF153" s="433">
        <f t="shared" si="17"/>
        <v>0</v>
      </c>
      <c r="AG153" s="434">
        <f t="shared" si="17"/>
        <v>0.11111111111111123</v>
      </c>
      <c r="AH153" s="434">
        <f t="shared" si="17"/>
        <v>0.1130313773219445</v>
      </c>
    </row>
    <row r="154" spans="1:34" ht="33" customHeight="1" x14ac:dyDescent="0.35">
      <c r="A154" s="413" t="s">
        <v>251</v>
      </c>
      <c r="B154" s="260" t="s">
        <v>221</v>
      </c>
      <c r="C154" s="259" t="s">
        <v>393</v>
      </c>
      <c r="D154" s="260" t="s">
        <v>919</v>
      </c>
      <c r="E154" s="260" t="s">
        <v>394</v>
      </c>
      <c r="F154" s="414"/>
      <c r="G154" s="429">
        <v>3</v>
      </c>
      <c r="H154" s="430">
        <v>4</v>
      </c>
      <c r="I154" s="431">
        <v>4</v>
      </c>
      <c r="J154" s="432">
        <v>0.36363636363636365</v>
      </c>
      <c r="K154" s="433">
        <v>0.8</v>
      </c>
      <c r="L154" s="434">
        <v>0.89090909090909098</v>
      </c>
      <c r="M154" s="463">
        <v>156.51247717589771</v>
      </c>
      <c r="N154" s="420">
        <v>-156.51247717589771</v>
      </c>
      <c r="T154" s="415">
        <f t="shared" si="19"/>
        <v>0.75</v>
      </c>
      <c r="U154" s="416">
        <f t="shared" si="20"/>
        <v>1</v>
      </c>
      <c r="V154" s="416">
        <f t="shared" si="21"/>
        <v>1</v>
      </c>
      <c r="W154" s="417">
        <f t="shared" si="22"/>
        <v>0.26315789473684209</v>
      </c>
      <c r="X154" s="418">
        <f t="shared" si="23"/>
        <v>0.75000000000000011</v>
      </c>
      <c r="Y154" s="419">
        <f t="shared" si="24"/>
        <v>0.85454545454545461</v>
      </c>
      <c r="Z154" s="419">
        <f t="shared" si="25"/>
        <v>-0.6219016653611894</v>
      </c>
      <c r="AB154" s="429">
        <f t="shared" si="18"/>
        <v>0.75</v>
      </c>
      <c r="AC154" s="430">
        <f t="shared" si="18"/>
        <v>1</v>
      </c>
      <c r="AD154" s="430">
        <f t="shared" si="18"/>
        <v>1</v>
      </c>
      <c r="AE154" s="432">
        <f t="shared" ref="AE154:AH195" si="26">IF(W154&lt;0,0,W154)</f>
        <v>0.26315789473684209</v>
      </c>
      <c r="AF154" s="433">
        <f t="shared" si="26"/>
        <v>0.75000000000000011</v>
      </c>
      <c r="AG154" s="434">
        <f t="shared" si="26"/>
        <v>0.85454545454545461</v>
      </c>
      <c r="AH154" s="434">
        <f t="shared" si="26"/>
        <v>0</v>
      </c>
    </row>
    <row r="155" spans="1:34" ht="33" customHeight="1" x14ac:dyDescent="0.35">
      <c r="A155" s="413" t="s">
        <v>251</v>
      </c>
      <c r="B155" s="260" t="s">
        <v>224</v>
      </c>
      <c r="C155" s="259" t="s">
        <v>395</v>
      </c>
      <c r="D155" s="461" t="s">
        <v>993</v>
      </c>
      <c r="E155" s="260" t="s">
        <v>396</v>
      </c>
      <c r="F155" s="414" t="s">
        <v>397</v>
      </c>
      <c r="G155" s="429">
        <v>4</v>
      </c>
      <c r="H155" s="430">
        <v>4</v>
      </c>
      <c r="I155" s="431">
        <v>4</v>
      </c>
      <c r="J155" s="432">
        <v>0.95454545454545459</v>
      </c>
      <c r="K155" s="433">
        <v>1</v>
      </c>
      <c r="L155" s="434">
        <v>1</v>
      </c>
      <c r="M155" s="435">
        <v>-0.13881692022203773</v>
      </c>
      <c r="N155" s="420">
        <v>0.13881692022203773</v>
      </c>
      <c r="T155" s="415">
        <f t="shared" si="19"/>
        <v>1</v>
      </c>
      <c r="U155" s="416">
        <f t="shared" si="20"/>
        <v>1</v>
      </c>
      <c r="V155" s="416">
        <f t="shared" si="21"/>
        <v>1</v>
      </c>
      <c r="W155" s="417">
        <f t="shared" si="22"/>
        <v>0.94736842105263164</v>
      </c>
      <c r="X155" s="418">
        <f t="shared" si="23"/>
        <v>1</v>
      </c>
      <c r="Y155" s="419">
        <f t="shared" si="24"/>
        <v>1</v>
      </c>
      <c r="Z155" s="419">
        <f t="shared" si="25"/>
        <v>0.83347668506952943</v>
      </c>
      <c r="AB155" s="429">
        <f t="shared" ref="AB155:AH214" si="27">IF(T155&lt;0,0,T155)</f>
        <v>1</v>
      </c>
      <c r="AC155" s="430">
        <f t="shared" si="27"/>
        <v>1</v>
      </c>
      <c r="AD155" s="430">
        <f t="shared" si="27"/>
        <v>1</v>
      </c>
      <c r="AE155" s="432">
        <f t="shared" si="26"/>
        <v>0.94736842105263164</v>
      </c>
      <c r="AF155" s="433">
        <f t="shared" si="26"/>
        <v>1</v>
      </c>
      <c r="AG155" s="434">
        <f t="shared" si="26"/>
        <v>1</v>
      </c>
      <c r="AH155" s="434">
        <f t="shared" si="26"/>
        <v>0.83347668506952943</v>
      </c>
    </row>
    <row r="156" spans="1:34" ht="33" customHeight="1" x14ac:dyDescent="0.35">
      <c r="A156" s="413" t="s">
        <v>251</v>
      </c>
      <c r="B156" s="260" t="s">
        <v>227</v>
      </c>
      <c r="C156" s="259" t="s">
        <v>398</v>
      </c>
      <c r="D156" s="461" t="s">
        <v>993</v>
      </c>
      <c r="E156" s="260" t="s">
        <v>399</v>
      </c>
      <c r="F156" s="414" t="s">
        <v>958</v>
      </c>
      <c r="G156" s="429">
        <v>0</v>
      </c>
      <c r="H156" s="430">
        <v>0</v>
      </c>
      <c r="I156" s="431">
        <v>0</v>
      </c>
      <c r="J156" s="432">
        <v>0.22727272727272735</v>
      </c>
      <c r="K156" s="433">
        <v>0.2</v>
      </c>
      <c r="L156" s="434">
        <v>0.18181818181818174</v>
      </c>
      <c r="M156" s="435">
        <v>94.217709698159069</v>
      </c>
      <c r="N156" s="420">
        <v>-94.217709698159069</v>
      </c>
      <c r="T156" s="415">
        <f t="shared" si="19"/>
        <v>0</v>
      </c>
      <c r="U156" s="416">
        <f t="shared" si="20"/>
        <v>0</v>
      </c>
      <c r="V156" s="416">
        <f t="shared" si="21"/>
        <v>0</v>
      </c>
      <c r="W156" s="417">
        <f t="shared" si="22"/>
        <v>0.10526315789473689</v>
      </c>
      <c r="X156" s="418">
        <f t="shared" si="23"/>
        <v>0</v>
      </c>
      <c r="Y156" s="419">
        <f t="shared" si="24"/>
        <v>-9.0909090909091009E-2</v>
      </c>
      <c r="Z156" s="419">
        <f t="shared" si="25"/>
        <v>-4.3148349243757066E-2</v>
      </c>
      <c r="AB156" s="429">
        <f t="shared" si="27"/>
        <v>0</v>
      </c>
      <c r="AC156" s="430">
        <f t="shared" si="27"/>
        <v>0</v>
      </c>
      <c r="AD156" s="430">
        <f t="shared" si="27"/>
        <v>0</v>
      </c>
      <c r="AE156" s="432">
        <f t="shared" si="26"/>
        <v>0.10526315789473689</v>
      </c>
      <c r="AF156" s="433">
        <f t="shared" si="26"/>
        <v>0</v>
      </c>
      <c r="AG156" s="434">
        <f t="shared" si="26"/>
        <v>0</v>
      </c>
      <c r="AH156" s="434">
        <f t="shared" si="26"/>
        <v>0</v>
      </c>
    </row>
    <row r="157" spans="1:34" ht="33" customHeight="1" x14ac:dyDescent="0.35">
      <c r="A157" s="413" t="s">
        <v>251</v>
      </c>
      <c r="B157" s="260" t="s">
        <v>230</v>
      </c>
      <c r="C157" s="259" t="s">
        <v>400</v>
      </c>
      <c r="D157" s="260" t="s">
        <v>925</v>
      </c>
      <c r="E157" s="260" t="s">
        <v>401</v>
      </c>
      <c r="F157" s="414"/>
      <c r="G157" s="429">
        <v>0</v>
      </c>
      <c r="H157" s="430">
        <v>0</v>
      </c>
      <c r="I157" s="431">
        <v>0</v>
      </c>
      <c r="J157" s="432">
        <v>0.18181818181818174</v>
      </c>
      <c r="K157" s="433">
        <v>0.15</v>
      </c>
      <c r="L157" s="434">
        <v>0.1272727272727272</v>
      </c>
      <c r="M157" s="435">
        <v>79.251405540810453</v>
      </c>
      <c r="N157" s="420">
        <v>-79.251405540810453</v>
      </c>
      <c r="T157" s="415">
        <f t="shared" si="19"/>
        <v>0</v>
      </c>
      <c r="U157" s="416">
        <f t="shared" si="20"/>
        <v>0</v>
      </c>
      <c r="V157" s="416">
        <f t="shared" si="21"/>
        <v>0</v>
      </c>
      <c r="W157" s="417">
        <f t="shared" si="22"/>
        <v>5.2631578947368286E-2</v>
      </c>
      <c r="X157" s="418">
        <f t="shared" si="23"/>
        <v>-6.2500000000000014E-2</v>
      </c>
      <c r="Y157" s="419">
        <f t="shared" si="24"/>
        <v>-0.16363636363636372</v>
      </c>
      <c r="Z157" s="419">
        <f t="shared" si="25"/>
        <v>9.5897007401694156E-2</v>
      </c>
      <c r="AB157" s="429">
        <f t="shared" si="27"/>
        <v>0</v>
      </c>
      <c r="AC157" s="430">
        <f t="shared" si="27"/>
        <v>0</v>
      </c>
      <c r="AD157" s="430">
        <f t="shared" si="27"/>
        <v>0</v>
      </c>
      <c r="AE157" s="432">
        <f t="shared" si="26"/>
        <v>5.2631578947368286E-2</v>
      </c>
      <c r="AF157" s="433">
        <f t="shared" si="26"/>
        <v>0</v>
      </c>
      <c r="AG157" s="434">
        <f t="shared" si="26"/>
        <v>0</v>
      </c>
      <c r="AH157" s="434">
        <f t="shared" si="26"/>
        <v>9.5897007401694156E-2</v>
      </c>
    </row>
    <row r="158" spans="1:34" ht="33" customHeight="1" x14ac:dyDescent="0.35">
      <c r="A158" s="413" t="s">
        <v>251</v>
      </c>
      <c r="B158" s="260" t="s">
        <v>233</v>
      </c>
      <c r="C158" s="259" t="s">
        <v>402</v>
      </c>
      <c r="D158" s="260" t="s">
        <v>918</v>
      </c>
      <c r="E158" s="260" t="s">
        <v>403</v>
      </c>
      <c r="F158" s="414"/>
      <c r="G158" s="429">
        <v>2</v>
      </c>
      <c r="H158" s="430">
        <v>2</v>
      </c>
      <c r="I158" s="431">
        <v>1</v>
      </c>
      <c r="J158" s="432">
        <v>0.45454545454545459</v>
      </c>
      <c r="K158" s="433">
        <v>0.75</v>
      </c>
      <c r="L158" s="434">
        <v>0.83636363636363642</v>
      </c>
      <c r="M158" s="435">
        <v>82.607643768735244</v>
      </c>
      <c r="N158" s="420">
        <v>-82.607643768735244</v>
      </c>
      <c r="T158" s="415">
        <f t="shared" si="19"/>
        <v>0.5</v>
      </c>
      <c r="U158" s="416">
        <f t="shared" si="20"/>
        <v>0.5</v>
      </c>
      <c r="V158" s="416">
        <f t="shared" si="21"/>
        <v>0.25</v>
      </c>
      <c r="W158" s="417">
        <f t="shared" si="22"/>
        <v>0.36842105263157898</v>
      </c>
      <c r="X158" s="418">
        <f t="shared" si="23"/>
        <v>0.6875</v>
      </c>
      <c r="Y158" s="419">
        <f t="shared" si="24"/>
        <v>0.78181818181818186</v>
      </c>
      <c r="Z158" s="419">
        <f t="shared" si="25"/>
        <v>6.4715672552251038E-2</v>
      </c>
      <c r="AB158" s="429">
        <f t="shared" si="27"/>
        <v>0.5</v>
      </c>
      <c r="AC158" s="430">
        <f t="shared" si="27"/>
        <v>0.5</v>
      </c>
      <c r="AD158" s="430">
        <f t="shared" si="27"/>
        <v>0.25</v>
      </c>
      <c r="AE158" s="432">
        <f t="shared" si="26"/>
        <v>0.36842105263157898</v>
      </c>
      <c r="AF158" s="433">
        <f t="shared" si="26"/>
        <v>0.6875</v>
      </c>
      <c r="AG158" s="434">
        <f t="shared" si="26"/>
        <v>0.78181818181818186</v>
      </c>
      <c r="AH158" s="434">
        <f t="shared" si="26"/>
        <v>6.4715672552251038E-2</v>
      </c>
    </row>
    <row r="159" spans="1:34" ht="33" customHeight="1" x14ac:dyDescent="0.35">
      <c r="A159" s="413" t="s">
        <v>251</v>
      </c>
      <c r="B159" s="260" t="s">
        <v>236</v>
      </c>
      <c r="C159" s="259" t="s">
        <v>404</v>
      </c>
      <c r="D159" s="260" t="s">
        <v>918</v>
      </c>
      <c r="E159" s="260" t="s">
        <v>405</v>
      </c>
      <c r="F159" s="414"/>
      <c r="G159" s="429">
        <v>0</v>
      </c>
      <c r="H159" s="430">
        <v>0</v>
      </c>
      <c r="I159" s="431">
        <v>0</v>
      </c>
      <c r="J159" s="432">
        <v>0.18181818181818174</v>
      </c>
      <c r="K159" s="433">
        <v>0.1</v>
      </c>
      <c r="L159" s="434">
        <v>0.1272727272727272</v>
      </c>
      <c r="M159" s="435">
        <v>91.739930850119407</v>
      </c>
      <c r="N159" s="420">
        <v>-91.739930850119407</v>
      </c>
      <c r="T159" s="415">
        <f t="shared" si="19"/>
        <v>0</v>
      </c>
      <c r="U159" s="416">
        <f t="shared" si="20"/>
        <v>0</v>
      </c>
      <c r="V159" s="416">
        <f t="shared" si="21"/>
        <v>0</v>
      </c>
      <c r="W159" s="417">
        <f t="shared" si="22"/>
        <v>5.2631578947368286E-2</v>
      </c>
      <c r="X159" s="418">
        <f t="shared" si="23"/>
        <v>-0.125</v>
      </c>
      <c r="Y159" s="419">
        <f t="shared" si="24"/>
        <v>-0.16363636363636372</v>
      </c>
      <c r="Z159" s="419">
        <f t="shared" si="25"/>
        <v>-2.0128394551398011E-2</v>
      </c>
      <c r="AB159" s="429">
        <f t="shared" si="27"/>
        <v>0</v>
      </c>
      <c r="AC159" s="430">
        <f t="shared" si="27"/>
        <v>0</v>
      </c>
      <c r="AD159" s="430">
        <f t="shared" si="27"/>
        <v>0</v>
      </c>
      <c r="AE159" s="432">
        <f t="shared" si="26"/>
        <v>5.2631578947368286E-2</v>
      </c>
      <c r="AF159" s="433">
        <f t="shared" si="26"/>
        <v>0</v>
      </c>
      <c r="AG159" s="434">
        <f t="shared" si="26"/>
        <v>0</v>
      </c>
      <c r="AH159" s="434">
        <f t="shared" si="26"/>
        <v>0</v>
      </c>
    </row>
    <row r="160" spans="1:34" ht="33" customHeight="1" x14ac:dyDescent="0.35">
      <c r="A160" s="413" t="s">
        <v>251</v>
      </c>
      <c r="B160" s="260" t="s">
        <v>239</v>
      </c>
      <c r="C160" s="259" t="s">
        <v>406</v>
      </c>
      <c r="D160" s="260" t="s">
        <v>918</v>
      </c>
      <c r="E160" s="260" t="s">
        <v>407</v>
      </c>
      <c r="F160" s="448"/>
      <c r="G160" s="429">
        <v>1</v>
      </c>
      <c r="H160" s="430">
        <v>0</v>
      </c>
      <c r="I160" s="431">
        <v>0</v>
      </c>
      <c r="J160" s="432">
        <v>0.18181818181818174</v>
      </c>
      <c r="K160" s="433">
        <v>0.35</v>
      </c>
      <c r="L160" s="434">
        <v>0.45454545454545447</v>
      </c>
      <c r="M160" s="435">
        <v>-13.736891145078419</v>
      </c>
      <c r="N160" s="420">
        <v>13.736891145078419</v>
      </c>
      <c r="T160" s="415">
        <f t="shared" si="19"/>
        <v>0.25</v>
      </c>
      <c r="U160" s="416">
        <f t="shared" si="20"/>
        <v>0</v>
      </c>
      <c r="V160" s="416">
        <f t="shared" si="21"/>
        <v>0</v>
      </c>
      <c r="W160" s="417">
        <f t="shared" si="22"/>
        <v>5.2631578947368286E-2</v>
      </c>
      <c r="X160" s="418">
        <f t="shared" si="23"/>
        <v>0.18749999999999994</v>
      </c>
      <c r="Y160" s="419">
        <f t="shared" si="24"/>
        <v>0.27272727272727265</v>
      </c>
      <c r="Z160" s="419">
        <f t="shared" si="25"/>
        <v>0.95981041852890825</v>
      </c>
      <c r="AB160" s="429">
        <f t="shared" si="27"/>
        <v>0.25</v>
      </c>
      <c r="AC160" s="430">
        <f t="shared" si="27"/>
        <v>0</v>
      </c>
      <c r="AD160" s="430">
        <f t="shared" si="27"/>
        <v>0</v>
      </c>
      <c r="AE160" s="432">
        <f t="shared" si="26"/>
        <v>5.2631578947368286E-2</v>
      </c>
      <c r="AF160" s="433">
        <f t="shared" si="26"/>
        <v>0.18749999999999994</v>
      </c>
      <c r="AG160" s="434">
        <f t="shared" si="26"/>
        <v>0.27272727272727265</v>
      </c>
      <c r="AH160" s="434">
        <f t="shared" si="26"/>
        <v>0.95981041852890825</v>
      </c>
    </row>
    <row r="161" spans="1:34" ht="33" customHeight="1" x14ac:dyDescent="0.35">
      <c r="A161" s="413" t="s">
        <v>251</v>
      </c>
      <c r="B161" s="260" t="s">
        <v>242</v>
      </c>
      <c r="C161" s="259" t="s">
        <v>408</v>
      </c>
      <c r="D161" s="260" t="s">
        <v>918</v>
      </c>
      <c r="E161" s="260" t="s">
        <v>409</v>
      </c>
      <c r="F161" s="414"/>
      <c r="G161" s="429">
        <v>2</v>
      </c>
      <c r="H161" s="430">
        <v>4</v>
      </c>
      <c r="I161" s="431">
        <v>4</v>
      </c>
      <c r="J161" s="432">
        <v>0.95454545454545459</v>
      </c>
      <c r="K161" s="433">
        <v>0.85</v>
      </c>
      <c r="L161" s="434">
        <v>1</v>
      </c>
      <c r="M161" s="435">
        <v>29.461199443180117</v>
      </c>
      <c r="N161" s="420">
        <v>-29.461199443180117</v>
      </c>
      <c r="T161" s="415">
        <f t="shared" si="19"/>
        <v>0.5</v>
      </c>
      <c r="U161" s="416">
        <f t="shared" si="20"/>
        <v>1</v>
      </c>
      <c r="V161" s="416">
        <f t="shared" si="21"/>
        <v>1</v>
      </c>
      <c r="W161" s="417">
        <f t="shared" si="22"/>
        <v>0.94736842105263164</v>
      </c>
      <c r="X161" s="418">
        <f t="shared" si="23"/>
        <v>0.81249999999999989</v>
      </c>
      <c r="Y161" s="419">
        <f t="shared" si="24"/>
        <v>1</v>
      </c>
      <c r="Z161" s="419">
        <f t="shared" si="25"/>
        <v>0.55847593747750812</v>
      </c>
      <c r="AB161" s="429">
        <f t="shared" si="27"/>
        <v>0.5</v>
      </c>
      <c r="AC161" s="430">
        <f t="shared" si="27"/>
        <v>1</v>
      </c>
      <c r="AD161" s="430">
        <f t="shared" si="27"/>
        <v>1</v>
      </c>
      <c r="AE161" s="432">
        <f t="shared" si="26"/>
        <v>0.94736842105263164</v>
      </c>
      <c r="AF161" s="433">
        <f t="shared" si="26"/>
        <v>0.81249999999999989</v>
      </c>
      <c r="AG161" s="434">
        <f t="shared" si="26"/>
        <v>1</v>
      </c>
      <c r="AH161" s="434">
        <f t="shared" si="26"/>
        <v>0.55847593747750812</v>
      </c>
    </row>
    <row r="162" spans="1:34" ht="33" customHeight="1" x14ac:dyDescent="0.35">
      <c r="A162" s="413" t="s">
        <v>251</v>
      </c>
      <c r="B162" s="260" t="s">
        <v>245</v>
      </c>
      <c r="C162" s="259" t="s">
        <v>410</v>
      </c>
      <c r="D162" s="260" t="s">
        <v>918</v>
      </c>
      <c r="E162" s="260" t="s">
        <v>411</v>
      </c>
      <c r="F162" s="414"/>
      <c r="G162" s="429">
        <v>0</v>
      </c>
      <c r="H162" s="430">
        <v>0</v>
      </c>
      <c r="I162" s="431">
        <v>0</v>
      </c>
      <c r="J162" s="432">
        <v>0.22727272727272735</v>
      </c>
      <c r="K162" s="433">
        <v>0.15</v>
      </c>
      <c r="L162" s="434">
        <v>0.1272727272727272</v>
      </c>
      <c r="M162" s="435">
        <v>94.236234578073777</v>
      </c>
      <c r="N162" s="420">
        <v>-94.236234578073777</v>
      </c>
      <c r="T162" s="415">
        <f t="shared" si="19"/>
        <v>0</v>
      </c>
      <c r="U162" s="416">
        <f t="shared" si="20"/>
        <v>0</v>
      </c>
      <c r="V162" s="416">
        <f t="shared" si="21"/>
        <v>0</v>
      </c>
      <c r="W162" s="417">
        <f t="shared" si="22"/>
        <v>0.10526315789473689</v>
      </c>
      <c r="X162" s="418">
        <f t="shared" si="23"/>
        <v>-6.2500000000000014E-2</v>
      </c>
      <c r="Y162" s="419">
        <f t="shared" si="24"/>
        <v>-0.16363636363636372</v>
      </c>
      <c r="Z162" s="419">
        <f t="shared" si="25"/>
        <v>-4.3320455764343173E-2</v>
      </c>
      <c r="AB162" s="429">
        <f t="shared" si="27"/>
        <v>0</v>
      </c>
      <c r="AC162" s="430">
        <f t="shared" si="27"/>
        <v>0</v>
      </c>
      <c r="AD162" s="430">
        <f t="shared" si="27"/>
        <v>0</v>
      </c>
      <c r="AE162" s="432">
        <f t="shared" si="26"/>
        <v>0.10526315789473689</v>
      </c>
      <c r="AF162" s="433">
        <f t="shared" si="26"/>
        <v>0</v>
      </c>
      <c r="AG162" s="434">
        <f t="shared" si="26"/>
        <v>0</v>
      </c>
      <c r="AH162" s="434">
        <f t="shared" si="26"/>
        <v>0</v>
      </c>
    </row>
    <row r="163" spans="1:34" ht="33" customHeight="1" thickBot="1" x14ac:dyDescent="0.4">
      <c r="A163" s="413" t="s">
        <v>251</v>
      </c>
      <c r="B163" s="260" t="s">
        <v>248</v>
      </c>
      <c r="C163" s="259" t="s">
        <v>412</v>
      </c>
      <c r="D163" s="461" t="s">
        <v>993</v>
      </c>
      <c r="E163" s="260" t="s">
        <v>413</v>
      </c>
      <c r="F163" s="414" t="s">
        <v>960</v>
      </c>
      <c r="G163" s="477">
        <v>0</v>
      </c>
      <c r="H163" s="478">
        <v>0</v>
      </c>
      <c r="I163" s="479">
        <v>0</v>
      </c>
      <c r="J163" s="432">
        <v>0.18181818181818174</v>
      </c>
      <c r="K163" s="433">
        <v>0.1</v>
      </c>
      <c r="L163" s="434">
        <v>7.2727272727272668E-2</v>
      </c>
      <c r="M163" s="435">
        <v>92.972756531144427</v>
      </c>
      <c r="N163" s="420">
        <v>-92.972756531144427</v>
      </c>
      <c r="T163" s="415">
        <f t="shared" si="19"/>
        <v>0</v>
      </c>
      <c r="U163" s="416">
        <f t="shared" si="20"/>
        <v>0</v>
      </c>
      <c r="V163" s="416">
        <f t="shared" si="21"/>
        <v>0</v>
      </c>
      <c r="W163" s="417">
        <f t="shared" si="22"/>
        <v>5.2631578947368286E-2</v>
      </c>
      <c r="X163" s="418">
        <f t="shared" si="23"/>
        <v>-0.125</v>
      </c>
      <c r="Y163" s="419">
        <f t="shared" si="24"/>
        <v>-0.23636363636363644</v>
      </c>
      <c r="Z163" s="419">
        <f t="shared" si="25"/>
        <v>-3.1582036325451271E-2</v>
      </c>
      <c r="AB163" s="429">
        <f t="shared" si="27"/>
        <v>0</v>
      </c>
      <c r="AC163" s="430">
        <f t="shared" si="27"/>
        <v>0</v>
      </c>
      <c r="AD163" s="430">
        <f t="shared" si="27"/>
        <v>0</v>
      </c>
      <c r="AE163" s="432">
        <f t="shared" si="26"/>
        <v>5.2631578947368286E-2</v>
      </c>
      <c r="AF163" s="433">
        <f t="shared" si="26"/>
        <v>0</v>
      </c>
      <c r="AG163" s="434">
        <f t="shared" si="26"/>
        <v>0</v>
      </c>
      <c r="AH163" s="434">
        <f t="shared" si="26"/>
        <v>0</v>
      </c>
    </row>
    <row r="164" spans="1:34" ht="33" customHeight="1" x14ac:dyDescent="0.35">
      <c r="A164" s="413" t="s">
        <v>414</v>
      </c>
      <c r="B164" s="260" t="s">
        <v>10</v>
      </c>
      <c r="C164" s="259" t="s">
        <v>415</v>
      </c>
      <c r="D164" s="260" t="s">
        <v>919</v>
      </c>
      <c r="E164" s="260" t="s">
        <v>416</v>
      </c>
      <c r="F164" s="414"/>
      <c r="G164" s="429">
        <v>0</v>
      </c>
      <c r="H164" s="430">
        <v>0</v>
      </c>
      <c r="I164" s="431">
        <v>0</v>
      </c>
      <c r="J164" s="432">
        <v>8.1081081081080975E-2</v>
      </c>
      <c r="K164" s="433">
        <v>0.11111111111111115</v>
      </c>
      <c r="L164" s="434">
        <v>0.125</v>
      </c>
      <c r="M164" s="435">
        <v>118.36515100949272</v>
      </c>
      <c r="N164" s="420">
        <v>-118.36515100949272</v>
      </c>
      <c r="T164" s="415">
        <f t="shared" si="19"/>
        <v>0</v>
      </c>
      <c r="U164" s="416">
        <f t="shared" si="20"/>
        <v>0</v>
      </c>
      <c r="V164" s="416">
        <f t="shared" si="21"/>
        <v>0</v>
      </c>
      <c r="W164" s="417">
        <f t="shared" si="22"/>
        <v>-6.4011379800853668E-2</v>
      </c>
      <c r="X164" s="418">
        <f t="shared" si="23"/>
        <v>-0.11111111111111108</v>
      </c>
      <c r="Y164" s="419">
        <f t="shared" si="24"/>
        <v>-0.16666666666666666</v>
      </c>
      <c r="Z164" s="419">
        <f t="shared" si="25"/>
        <v>-0.26749161755565204</v>
      </c>
      <c r="AB164" s="429">
        <f t="shared" si="27"/>
        <v>0</v>
      </c>
      <c r="AC164" s="430">
        <f t="shared" si="27"/>
        <v>0</v>
      </c>
      <c r="AD164" s="430">
        <f t="shared" si="27"/>
        <v>0</v>
      </c>
      <c r="AE164" s="432">
        <f t="shared" si="26"/>
        <v>0</v>
      </c>
      <c r="AF164" s="433">
        <f t="shared" si="26"/>
        <v>0</v>
      </c>
      <c r="AG164" s="434">
        <f t="shared" si="26"/>
        <v>0</v>
      </c>
      <c r="AH164" s="434">
        <f t="shared" si="26"/>
        <v>0</v>
      </c>
    </row>
    <row r="165" spans="1:34" ht="33" customHeight="1" x14ac:dyDescent="0.35">
      <c r="A165" s="413" t="s">
        <v>414</v>
      </c>
      <c r="B165" s="260" t="s">
        <v>13</v>
      </c>
      <c r="C165" s="259" t="s">
        <v>417</v>
      </c>
      <c r="D165" s="260" t="s">
        <v>925</v>
      </c>
      <c r="E165" s="260" t="s">
        <v>418</v>
      </c>
      <c r="F165" s="414"/>
      <c r="G165" s="429">
        <v>1</v>
      </c>
      <c r="H165" s="430">
        <v>0</v>
      </c>
      <c r="I165" s="431">
        <v>1</v>
      </c>
      <c r="J165" s="432">
        <v>0.13513513513513517</v>
      </c>
      <c r="K165" s="433">
        <v>0.16666666666666657</v>
      </c>
      <c r="L165" s="434">
        <v>0.25</v>
      </c>
      <c r="M165" s="435">
        <v>126.16637631070299</v>
      </c>
      <c r="N165" s="420">
        <v>-126.16637631070299</v>
      </c>
      <c r="T165" s="415">
        <f t="shared" si="19"/>
        <v>0.25</v>
      </c>
      <c r="U165" s="416">
        <f t="shared" si="20"/>
        <v>0</v>
      </c>
      <c r="V165" s="416">
        <f t="shared" si="21"/>
        <v>0.25</v>
      </c>
      <c r="W165" s="417">
        <f t="shared" si="22"/>
        <v>-1.422475106685645E-3</v>
      </c>
      <c r="X165" s="418">
        <f t="shared" si="23"/>
        <v>-4.1666666666666796E-2</v>
      </c>
      <c r="Y165" s="419">
        <f t="shared" si="24"/>
        <v>0</v>
      </c>
      <c r="Z165" s="419">
        <f t="shared" si="25"/>
        <v>-0.33996937444700104</v>
      </c>
      <c r="AB165" s="429">
        <f t="shared" si="27"/>
        <v>0.25</v>
      </c>
      <c r="AC165" s="430">
        <f t="shared" si="27"/>
        <v>0</v>
      </c>
      <c r="AD165" s="430">
        <f t="shared" si="27"/>
        <v>0.25</v>
      </c>
      <c r="AE165" s="432">
        <f t="shared" si="26"/>
        <v>0</v>
      </c>
      <c r="AF165" s="433">
        <f t="shared" si="26"/>
        <v>0</v>
      </c>
      <c r="AG165" s="434">
        <f t="shared" si="26"/>
        <v>0</v>
      </c>
      <c r="AH165" s="434">
        <f t="shared" si="26"/>
        <v>0</v>
      </c>
    </row>
    <row r="166" spans="1:34" ht="33" customHeight="1" x14ac:dyDescent="0.35">
      <c r="A166" s="413" t="s">
        <v>414</v>
      </c>
      <c r="B166" s="260" t="s">
        <v>16</v>
      </c>
      <c r="C166" s="259" t="s">
        <v>419</v>
      </c>
      <c r="D166" s="260" t="s">
        <v>916</v>
      </c>
      <c r="E166" s="260" t="s">
        <v>420</v>
      </c>
      <c r="F166" s="414"/>
      <c r="G166" s="429">
        <v>0</v>
      </c>
      <c r="H166" s="430">
        <v>0</v>
      </c>
      <c r="I166" s="431">
        <v>0</v>
      </c>
      <c r="J166" s="432">
        <v>0.13513513513513517</v>
      </c>
      <c r="K166" s="433">
        <v>0.11111111111111115</v>
      </c>
      <c r="L166" s="434">
        <v>0</v>
      </c>
      <c r="M166" s="435">
        <v>128.31769830317526</v>
      </c>
      <c r="N166" s="420">
        <v>-128.31769830317526</v>
      </c>
      <c r="T166" s="415">
        <f t="shared" si="19"/>
        <v>0</v>
      </c>
      <c r="U166" s="416">
        <f t="shared" si="20"/>
        <v>0</v>
      </c>
      <c r="V166" s="416">
        <f t="shared" si="21"/>
        <v>0</v>
      </c>
      <c r="W166" s="417">
        <f t="shared" si="22"/>
        <v>-1.422475106685645E-3</v>
      </c>
      <c r="X166" s="418">
        <f t="shared" si="23"/>
        <v>-0.11111111111111108</v>
      </c>
      <c r="Y166" s="419">
        <f t="shared" si="24"/>
        <v>-0.33333333333333331</v>
      </c>
      <c r="Z166" s="419">
        <f t="shared" si="25"/>
        <v>-0.35995636191949831</v>
      </c>
      <c r="AB166" s="429">
        <f t="shared" si="27"/>
        <v>0</v>
      </c>
      <c r="AC166" s="430">
        <f t="shared" si="27"/>
        <v>0</v>
      </c>
      <c r="AD166" s="430">
        <f t="shared" si="27"/>
        <v>0</v>
      </c>
      <c r="AE166" s="432">
        <f t="shared" si="26"/>
        <v>0</v>
      </c>
      <c r="AF166" s="433">
        <f t="shared" si="26"/>
        <v>0</v>
      </c>
      <c r="AG166" s="434">
        <f t="shared" si="26"/>
        <v>0</v>
      </c>
      <c r="AH166" s="434">
        <f t="shared" si="26"/>
        <v>0</v>
      </c>
    </row>
    <row r="167" spans="1:34" ht="33" customHeight="1" x14ac:dyDescent="0.35">
      <c r="A167" s="426" t="s">
        <v>414</v>
      </c>
      <c r="B167" s="427" t="s">
        <v>19</v>
      </c>
      <c r="C167" s="428" t="s">
        <v>421</v>
      </c>
      <c r="D167" s="260" t="s">
        <v>916</v>
      </c>
      <c r="E167" s="260" t="s">
        <v>422</v>
      </c>
      <c r="F167" s="414"/>
      <c r="G167" s="429">
        <v>1</v>
      </c>
      <c r="H167" s="430">
        <v>3</v>
      </c>
      <c r="I167" s="431">
        <v>4</v>
      </c>
      <c r="J167" s="432">
        <v>0.40540540540540543</v>
      </c>
      <c r="K167" s="433">
        <v>0.66666666666666674</v>
      </c>
      <c r="L167" s="434">
        <v>0.75</v>
      </c>
      <c r="M167" s="435">
        <v>39.913064430519221</v>
      </c>
      <c r="N167" s="420">
        <v>-39.913064430519221</v>
      </c>
      <c r="T167" s="415">
        <f t="shared" si="19"/>
        <v>0.25</v>
      </c>
      <c r="U167" s="416">
        <f t="shared" si="20"/>
        <v>0.75</v>
      </c>
      <c r="V167" s="416">
        <f t="shared" si="21"/>
        <v>1</v>
      </c>
      <c r="W167" s="417">
        <f t="shared" si="22"/>
        <v>0.31152204836415365</v>
      </c>
      <c r="X167" s="418">
        <f t="shared" si="23"/>
        <v>0.58333333333333337</v>
      </c>
      <c r="Y167" s="419">
        <f t="shared" si="24"/>
        <v>0.66666666666666663</v>
      </c>
      <c r="Z167" s="419">
        <f t="shared" si="25"/>
        <v>0.46137225179161406</v>
      </c>
      <c r="AB167" s="429">
        <f t="shared" si="27"/>
        <v>0.25</v>
      </c>
      <c r="AC167" s="430">
        <f t="shared" si="27"/>
        <v>0.75</v>
      </c>
      <c r="AD167" s="430">
        <f t="shared" si="27"/>
        <v>1</v>
      </c>
      <c r="AE167" s="432">
        <f t="shared" si="26"/>
        <v>0.31152204836415365</v>
      </c>
      <c r="AF167" s="433">
        <f t="shared" si="26"/>
        <v>0.58333333333333337</v>
      </c>
      <c r="AG167" s="434">
        <f t="shared" si="26"/>
        <v>0.66666666666666663</v>
      </c>
      <c r="AH167" s="434">
        <f t="shared" si="26"/>
        <v>0.46137225179161406</v>
      </c>
    </row>
    <row r="168" spans="1:34" ht="33" customHeight="1" x14ac:dyDescent="0.35">
      <c r="A168" s="413" t="s">
        <v>414</v>
      </c>
      <c r="B168" s="260" t="s">
        <v>23</v>
      </c>
      <c r="C168" s="259" t="s">
        <v>423</v>
      </c>
      <c r="D168" s="260" t="s">
        <v>920</v>
      </c>
      <c r="E168" s="260" t="s">
        <v>424</v>
      </c>
      <c r="F168" s="414"/>
      <c r="G168" s="429">
        <v>0</v>
      </c>
      <c r="H168" s="430">
        <v>0</v>
      </c>
      <c r="I168" s="431">
        <v>0</v>
      </c>
      <c r="J168" s="432">
        <v>8.1081081081080975E-2</v>
      </c>
      <c r="K168" s="433">
        <v>0.16666666666666657</v>
      </c>
      <c r="L168" s="434">
        <v>0.1875</v>
      </c>
      <c r="M168" s="435">
        <v>98.67900710599713</v>
      </c>
      <c r="N168" s="420">
        <v>-98.67900710599713</v>
      </c>
      <c r="T168" s="415">
        <f t="shared" si="19"/>
        <v>0</v>
      </c>
      <c r="U168" s="416">
        <f t="shared" si="20"/>
        <v>0</v>
      </c>
      <c r="V168" s="416">
        <f t="shared" si="21"/>
        <v>0</v>
      </c>
      <c r="W168" s="417">
        <f t="shared" si="22"/>
        <v>-6.4011379800853668E-2</v>
      </c>
      <c r="X168" s="418">
        <f t="shared" si="23"/>
        <v>-4.1666666666666796E-2</v>
      </c>
      <c r="Y168" s="419">
        <f t="shared" si="24"/>
        <v>-8.3333333333333329E-2</v>
      </c>
      <c r="Z168" s="419">
        <f t="shared" si="25"/>
        <v>-8.4596303438225648E-2</v>
      </c>
      <c r="AB168" s="429">
        <f t="shared" si="27"/>
        <v>0</v>
      </c>
      <c r="AC168" s="430">
        <f t="shared" si="27"/>
        <v>0</v>
      </c>
      <c r="AD168" s="430">
        <f t="shared" si="27"/>
        <v>0</v>
      </c>
      <c r="AE168" s="432">
        <f t="shared" si="26"/>
        <v>0</v>
      </c>
      <c r="AF168" s="433">
        <f t="shared" si="26"/>
        <v>0</v>
      </c>
      <c r="AG168" s="434">
        <f t="shared" si="26"/>
        <v>0</v>
      </c>
      <c r="AH168" s="434">
        <f t="shared" si="26"/>
        <v>0</v>
      </c>
    </row>
    <row r="169" spans="1:34" ht="33" customHeight="1" x14ac:dyDescent="0.35">
      <c r="A169" s="413" t="s">
        <v>414</v>
      </c>
      <c r="B169" s="260" t="s">
        <v>26</v>
      </c>
      <c r="C169" s="259" t="s">
        <v>425</v>
      </c>
      <c r="D169" s="260" t="s">
        <v>916</v>
      </c>
      <c r="E169" s="260" t="s">
        <v>426</v>
      </c>
      <c r="F169" s="414"/>
      <c r="G169" s="429">
        <v>0</v>
      </c>
      <c r="H169" s="430">
        <v>0</v>
      </c>
      <c r="I169" s="431">
        <v>0</v>
      </c>
      <c r="J169" s="432">
        <v>8.1081081081080975E-2</v>
      </c>
      <c r="K169" s="433">
        <v>0.11111111111111115</v>
      </c>
      <c r="L169" s="434">
        <v>6.25E-2</v>
      </c>
      <c r="M169" s="435">
        <v>140.97484611516541</v>
      </c>
      <c r="N169" s="420">
        <v>-140.97484611516541</v>
      </c>
      <c r="T169" s="415">
        <f t="shared" si="19"/>
        <v>0</v>
      </c>
      <c r="U169" s="416">
        <f t="shared" si="20"/>
        <v>0</v>
      </c>
      <c r="V169" s="416">
        <f t="shared" si="21"/>
        <v>0</v>
      </c>
      <c r="W169" s="417">
        <f t="shared" si="22"/>
        <v>-6.4011379800853668E-2</v>
      </c>
      <c r="X169" s="418">
        <f t="shared" si="23"/>
        <v>-0.11111111111111108</v>
      </c>
      <c r="Y169" s="419">
        <f t="shared" si="24"/>
        <v>-0.25</v>
      </c>
      <c r="Z169" s="419">
        <f t="shared" si="25"/>
        <v>-0.47754836146256674</v>
      </c>
      <c r="AB169" s="429">
        <f t="shared" si="27"/>
        <v>0</v>
      </c>
      <c r="AC169" s="430">
        <f t="shared" si="27"/>
        <v>0</v>
      </c>
      <c r="AD169" s="430">
        <f t="shared" si="27"/>
        <v>0</v>
      </c>
      <c r="AE169" s="432">
        <f t="shared" si="26"/>
        <v>0</v>
      </c>
      <c r="AF169" s="433">
        <f t="shared" si="26"/>
        <v>0</v>
      </c>
      <c r="AG169" s="434">
        <f t="shared" si="26"/>
        <v>0</v>
      </c>
      <c r="AH169" s="434">
        <f t="shared" si="26"/>
        <v>0</v>
      </c>
    </row>
    <row r="170" spans="1:34" ht="33" customHeight="1" x14ac:dyDescent="0.35">
      <c r="A170" s="413" t="s">
        <v>414</v>
      </c>
      <c r="B170" s="260" t="s">
        <v>29</v>
      </c>
      <c r="C170" s="259" t="s">
        <v>427</v>
      </c>
      <c r="D170" s="260" t="s">
        <v>916</v>
      </c>
      <c r="E170" s="260" t="s">
        <v>428</v>
      </c>
      <c r="F170" s="414" t="s">
        <v>963</v>
      </c>
      <c r="G170" s="429">
        <v>0</v>
      </c>
      <c r="H170" s="430">
        <v>0</v>
      </c>
      <c r="I170" s="431">
        <v>0</v>
      </c>
      <c r="J170" s="432">
        <v>0.05</v>
      </c>
      <c r="K170" s="433">
        <v>5.5555555555555573E-2</v>
      </c>
      <c r="L170" s="434">
        <v>0</v>
      </c>
      <c r="M170" s="435">
        <v>107.91086350974932</v>
      </c>
      <c r="N170" s="420">
        <v>-107.91086350974932</v>
      </c>
      <c r="T170" s="415">
        <f t="shared" si="19"/>
        <v>0</v>
      </c>
      <c r="U170" s="416">
        <f t="shared" si="20"/>
        <v>0</v>
      </c>
      <c r="V170" s="416">
        <f t="shared" si="21"/>
        <v>0</v>
      </c>
      <c r="W170" s="417">
        <f t="shared" si="22"/>
        <v>-0.10000000000000006</v>
      </c>
      <c r="X170" s="418">
        <f t="shared" si="23"/>
        <v>-0.18055555555555552</v>
      </c>
      <c r="Y170" s="419">
        <f t="shared" si="24"/>
        <v>-0.33333333333333331</v>
      </c>
      <c r="Z170" s="419">
        <f t="shared" si="25"/>
        <v>-0.17036542537131369</v>
      </c>
      <c r="AB170" s="429">
        <f t="shared" si="27"/>
        <v>0</v>
      </c>
      <c r="AC170" s="430">
        <f t="shared" si="27"/>
        <v>0</v>
      </c>
      <c r="AD170" s="430">
        <f t="shared" si="27"/>
        <v>0</v>
      </c>
      <c r="AE170" s="432">
        <f t="shared" si="26"/>
        <v>0</v>
      </c>
      <c r="AF170" s="433">
        <f t="shared" si="26"/>
        <v>0</v>
      </c>
      <c r="AG170" s="434">
        <f t="shared" si="26"/>
        <v>0</v>
      </c>
      <c r="AH170" s="434">
        <f t="shared" si="26"/>
        <v>0</v>
      </c>
    </row>
    <row r="171" spans="1:34" ht="33" customHeight="1" x14ac:dyDescent="0.35">
      <c r="A171" s="413" t="s">
        <v>414</v>
      </c>
      <c r="B171" s="260" t="s">
        <v>32</v>
      </c>
      <c r="C171" s="259" t="s">
        <v>429</v>
      </c>
      <c r="D171" s="260" t="s">
        <v>918</v>
      </c>
      <c r="E171" s="260" t="s">
        <v>430</v>
      </c>
      <c r="F171" s="414"/>
      <c r="G171" s="429">
        <v>0</v>
      </c>
      <c r="H171" s="430">
        <v>0</v>
      </c>
      <c r="I171" s="431">
        <v>1</v>
      </c>
      <c r="J171" s="432">
        <v>0.1</v>
      </c>
      <c r="K171" s="433">
        <v>5.5555555555555573E-2</v>
      </c>
      <c r="L171" s="434">
        <v>0</v>
      </c>
      <c r="M171" s="435">
        <v>119.87561420258191</v>
      </c>
      <c r="N171" s="420">
        <v>-119.87561420258191</v>
      </c>
      <c r="T171" s="415">
        <f t="shared" si="19"/>
        <v>0</v>
      </c>
      <c r="U171" s="416">
        <f t="shared" si="20"/>
        <v>0</v>
      </c>
      <c r="V171" s="416">
        <f t="shared" si="21"/>
        <v>0.25</v>
      </c>
      <c r="W171" s="417">
        <f t="shared" si="22"/>
        <v>-4.2105263157894784E-2</v>
      </c>
      <c r="X171" s="418">
        <f t="shared" si="23"/>
        <v>-0.18055555555555552</v>
      </c>
      <c r="Y171" s="419">
        <f t="shared" si="24"/>
        <v>-0.33333333333333331</v>
      </c>
      <c r="Z171" s="419">
        <f t="shared" si="25"/>
        <v>-0.2815246674773183</v>
      </c>
      <c r="AB171" s="429">
        <f t="shared" si="27"/>
        <v>0</v>
      </c>
      <c r="AC171" s="430">
        <f t="shared" si="27"/>
        <v>0</v>
      </c>
      <c r="AD171" s="430">
        <f t="shared" si="27"/>
        <v>0.25</v>
      </c>
      <c r="AE171" s="432">
        <f t="shared" si="26"/>
        <v>0</v>
      </c>
      <c r="AF171" s="433">
        <f t="shared" si="26"/>
        <v>0</v>
      </c>
      <c r="AG171" s="434">
        <f t="shared" si="26"/>
        <v>0</v>
      </c>
      <c r="AH171" s="434">
        <f t="shared" si="26"/>
        <v>0</v>
      </c>
    </row>
    <row r="172" spans="1:34" ht="33" customHeight="1" x14ac:dyDescent="0.35">
      <c r="A172" s="413" t="s">
        <v>414</v>
      </c>
      <c r="B172" s="260" t="s">
        <v>35</v>
      </c>
      <c r="C172" s="259" t="s">
        <v>431</v>
      </c>
      <c r="D172" s="260" t="s">
        <v>919</v>
      </c>
      <c r="E172" s="260" t="s">
        <v>432</v>
      </c>
      <c r="F172" s="414"/>
      <c r="G172" s="429">
        <v>0</v>
      </c>
      <c r="H172" s="430">
        <v>0</v>
      </c>
      <c r="I172" s="431">
        <v>0</v>
      </c>
      <c r="J172" s="432">
        <v>0.1</v>
      </c>
      <c r="K172" s="433">
        <v>0</v>
      </c>
      <c r="L172" s="434">
        <v>0</v>
      </c>
      <c r="M172" s="435">
        <v>80.615719166908434</v>
      </c>
      <c r="N172" s="420">
        <v>-80.615719166908434</v>
      </c>
      <c r="T172" s="415">
        <f t="shared" si="19"/>
        <v>0</v>
      </c>
      <c r="U172" s="416">
        <f t="shared" si="20"/>
        <v>0</v>
      </c>
      <c r="V172" s="416">
        <f t="shared" si="21"/>
        <v>0</v>
      </c>
      <c r="W172" s="417">
        <f t="shared" si="22"/>
        <v>-4.2105263157894784E-2</v>
      </c>
      <c r="X172" s="418">
        <f t="shared" si="23"/>
        <v>-0.25</v>
      </c>
      <c r="Y172" s="419">
        <f t="shared" si="24"/>
        <v>-0.33333333333333331</v>
      </c>
      <c r="Z172" s="419">
        <f t="shared" si="25"/>
        <v>8.3221768897744797E-2</v>
      </c>
      <c r="AB172" s="429">
        <f t="shared" si="27"/>
        <v>0</v>
      </c>
      <c r="AC172" s="430">
        <f t="shared" si="27"/>
        <v>0</v>
      </c>
      <c r="AD172" s="430">
        <f t="shared" si="27"/>
        <v>0</v>
      </c>
      <c r="AE172" s="432">
        <f t="shared" si="26"/>
        <v>0</v>
      </c>
      <c r="AF172" s="433">
        <f t="shared" si="26"/>
        <v>0</v>
      </c>
      <c r="AG172" s="434">
        <f t="shared" si="26"/>
        <v>0</v>
      </c>
      <c r="AH172" s="434">
        <f t="shared" si="26"/>
        <v>8.3221768897744797E-2</v>
      </c>
    </row>
    <row r="173" spans="1:34" ht="33" customHeight="1" x14ac:dyDescent="0.35">
      <c r="A173" s="413" t="s">
        <v>414</v>
      </c>
      <c r="B173" s="260" t="s">
        <v>38</v>
      </c>
      <c r="C173" s="259" t="s">
        <v>433</v>
      </c>
      <c r="D173" s="260" t="s">
        <v>916</v>
      </c>
      <c r="E173" s="260" t="s">
        <v>434</v>
      </c>
      <c r="F173" s="414"/>
      <c r="G173" s="429">
        <v>0</v>
      </c>
      <c r="H173" s="430">
        <v>0</v>
      </c>
      <c r="I173" s="431">
        <v>0</v>
      </c>
      <c r="J173" s="432">
        <v>0.1</v>
      </c>
      <c r="K173" s="433">
        <v>5.5555555555555573E-2</v>
      </c>
      <c r="L173" s="434">
        <v>6.25E-2</v>
      </c>
      <c r="M173" s="435">
        <v>110.52206777064109</v>
      </c>
      <c r="N173" s="420">
        <v>-110.52206777064109</v>
      </c>
      <c r="T173" s="415">
        <f t="shared" si="19"/>
        <v>0</v>
      </c>
      <c r="U173" s="416">
        <f t="shared" si="20"/>
        <v>0</v>
      </c>
      <c r="V173" s="416">
        <f t="shared" si="21"/>
        <v>0</v>
      </c>
      <c r="W173" s="417">
        <f t="shared" si="22"/>
        <v>-4.2105263157894784E-2</v>
      </c>
      <c r="X173" s="418">
        <f t="shared" si="23"/>
        <v>-0.18055555555555552</v>
      </c>
      <c r="Y173" s="419">
        <f t="shared" si="24"/>
        <v>-0.25</v>
      </c>
      <c r="Z173" s="419">
        <f t="shared" si="25"/>
        <v>-0.1946249769554998</v>
      </c>
      <c r="AB173" s="429">
        <f t="shared" si="27"/>
        <v>0</v>
      </c>
      <c r="AC173" s="430">
        <f t="shared" si="27"/>
        <v>0</v>
      </c>
      <c r="AD173" s="430">
        <f t="shared" si="27"/>
        <v>0</v>
      </c>
      <c r="AE173" s="432">
        <f t="shared" si="26"/>
        <v>0</v>
      </c>
      <c r="AF173" s="433">
        <f t="shared" si="26"/>
        <v>0</v>
      </c>
      <c r="AG173" s="434">
        <f t="shared" si="26"/>
        <v>0</v>
      </c>
      <c r="AH173" s="434">
        <f t="shared" si="26"/>
        <v>0</v>
      </c>
    </row>
    <row r="174" spans="1:34" ht="33" customHeight="1" x14ac:dyDescent="0.35">
      <c r="A174" s="413" t="s">
        <v>414</v>
      </c>
      <c r="B174" s="260" t="s">
        <v>41</v>
      </c>
      <c r="C174" s="259" t="s">
        <v>435</v>
      </c>
      <c r="D174" s="260" t="s">
        <v>918</v>
      </c>
      <c r="E174" s="260" t="s">
        <v>436</v>
      </c>
      <c r="F174" s="414"/>
      <c r="G174" s="429">
        <v>0</v>
      </c>
      <c r="H174" s="430">
        <v>0</v>
      </c>
      <c r="I174" s="431">
        <v>0</v>
      </c>
      <c r="J174" s="432">
        <v>0.15</v>
      </c>
      <c r="K174" s="433">
        <v>0.22222222222222215</v>
      </c>
      <c r="L174" s="434">
        <v>0.375</v>
      </c>
      <c r="M174" s="435">
        <v>137.26720467890624</v>
      </c>
      <c r="N174" s="420">
        <v>-137.26720467890624</v>
      </c>
      <c r="T174" s="415">
        <f t="shared" si="19"/>
        <v>0</v>
      </c>
      <c r="U174" s="416">
        <f t="shared" si="20"/>
        <v>0</v>
      </c>
      <c r="V174" s="416">
        <f t="shared" si="21"/>
        <v>0</v>
      </c>
      <c r="W174" s="417">
        <f t="shared" si="22"/>
        <v>1.5789473684210468E-2</v>
      </c>
      <c r="X174" s="418">
        <f t="shared" si="23"/>
        <v>2.7777777777777679E-2</v>
      </c>
      <c r="Y174" s="419">
        <f t="shared" si="24"/>
        <v>0.16666666666666666</v>
      </c>
      <c r="Z174" s="419">
        <f t="shared" si="25"/>
        <v>-0.44310229378960836</v>
      </c>
      <c r="AB174" s="429">
        <f t="shared" si="27"/>
        <v>0</v>
      </c>
      <c r="AC174" s="430">
        <f t="shared" si="27"/>
        <v>0</v>
      </c>
      <c r="AD174" s="430">
        <f t="shared" si="27"/>
        <v>0</v>
      </c>
      <c r="AE174" s="432">
        <f t="shared" si="26"/>
        <v>1.5789473684210468E-2</v>
      </c>
      <c r="AF174" s="433">
        <f t="shared" si="26"/>
        <v>2.7777777777777679E-2</v>
      </c>
      <c r="AG174" s="434">
        <f t="shared" si="26"/>
        <v>0.16666666666666666</v>
      </c>
      <c r="AH174" s="434">
        <f t="shared" si="26"/>
        <v>0</v>
      </c>
    </row>
    <row r="175" spans="1:34" ht="33" customHeight="1" x14ac:dyDescent="0.35">
      <c r="A175" s="413" t="s">
        <v>414</v>
      </c>
      <c r="B175" s="260" t="s">
        <v>44</v>
      </c>
      <c r="C175" s="259" t="s">
        <v>437</v>
      </c>
      <c r="D175" s="260" t="s">
        <v>919</v>
      </c>
      <c r="E175" s="260" t="s">
        <v>438</v>
      </c>
      <c r="F175" s="414"/>
      <c r="G175" s="429">
        <v>0</v>
      </c>
      <c r="H175" s="430">
        <v>0</v>
      </c>
      <c r="I175" s="431">
        <v>0</v>
      </c>
      <c r="J175" s="432">
        <v>0.1</v>
      </c>
      <c r="K175" s="433">
        <v>0.11111111111111115</v>
      </c>
      <c r="L175" s="434">
        <v>0.25</v>
      </c>
      <c r="M175" s="435">
        <v>85.901221197678439</v>
      </c>
      <c r="N175" s="420">
        <v>-85.901221197678439</v>
      </c>
      <c r="T175" s="415">
        <f t="shared" si="19"/>
        <v>0</v>
      </c>
      <c r="U175" s="416">
        <f t="shared" si="20"/>
        <v>0</v>
      </c>
      <c r="V175" s="416">
        <f t="shared" si="21"/>
        <v>0</v>
      </c>
      <c r="W175" s="417">
        <f t="shared" si="22"/>
        <v>-4.2105263157894784E-2</v>
      </c>
      <c r="X175" s="418">
        <f t="shared" si="23"/>
        <v>-0.11111111111111108</v>
      </c>
      <c r="Y175" s="419">
        <f t="shared" si="24"/>
        <v>0</v>
      </c>
      <c r="Z175" s="419">
        <f t="shared" si="25"/>
        <v>3.4116491656815802E-2</v>
      </c>
      <c r="AB175" s="429">
        <f t="shared" si="27"/>
        <v>0</v>
      </c>
      <c r="AC175" s="430">
        <f t="shared" si="27"/>
        <v>0</v>
      </c>
      <c r="AD175" s="430">
        <f t="shared" si="27"/>
        <v>0</v>
      </c>
      <c r="AE175" s="432">
        <f t="shared" si="26"/>
        <v>0</v>
      </c>
      <c r="AF175" s="433">
        <f t="shared" si="26"/>
        <v>0</v>
      </c>
      <c r="AG175" s="434">
        <f t="shared" si="26"/>
        <v>0</v>
      </c>
      <c r="AH175" s="434">
        <f t="shared" si="26"/>
        <v>3.4116491656815802E-2</v>
      </c>
    </row>
    <row r="176" spans="1:34" ht="33" customHeight="1" x14ac:dyDescent="0.35">
      <c r="A176" s="413" t="s">
        <v>414</v>
      </c>
      <c r="B176" s="260" t="s">
        <v>47</v>
      </c>
      <c r="C176" s="259" t="s">
        <v>439</v>
      </c>
      <c r="D176" s="260" t="s">
        <v>916</v>
      </c>
      <c r="E176" s="260" t="s">
        <v>440</v>
      </c>
      <c r="F176" s="414"/>
      <c r="G176" s="429">
        <v>0</v>
      </c>
      <c r="H176" s="430">
        <v>0</v>
      </c>
      <c r="I176" s="431">
        <v>0</v>
      </c>
      <c r="J176" s="432">
        <v>0.1</v>
      </c>
      <c r="K176" s="433">
        <v>5.5555555555555573E-2</v>
      </c>
      <c r="L176" s="434">
        <v>0.125</v>
      </c>
      <c r="M176" s="435">
        <v>113.65584606456474</v>
      </c>
      <c r="N176" s="420">
        <v>-113.65584606456474</v>
      </c>
      <c r="T176" s="415">
        <f t="shared" si="19"/>
        <v>0</v>
      </c>
      <c r="U176" s="416">
        <f t="shared" si="20"/>
        <v>0</v>
      </c>
      <c r="V176" s="416">
        <f t="shared" si="21"/>
        <v>0</v>
      </c>
      <c r="W176" s="417">
        <f t="shared" si="22"/>
        <v>-4.2105263157894784E-2</v>
      </c>
      <c r="X176" s="418">
        <f t="shared" si="23"/>
        <v>-0.18055555555555552</v>
      </c>
      <c r="Y176" s="419">
        <f t="shared" si="24"/>
        <v>-0.16666666666666666</v>
      </c>
      <c r="Z176" s="419">
        <f t="shared" si="25"/>
        <v>-0.22373953429345397</v>
      </c>
      <c r="AB176" s="429">
        <f t="shared" si="27"/>
        <v>0</v>
      </c>
      <c r="AC176" s="430">
        <f t="shared" si="27"/>
        <v>0</v>
      </c>
      <c r="AD176" s="430">
        <f t="shared" si="27"/>
        <v>0</v>
      </c>
      <c r="AE176" s="432">
        <f t="shared" si="26"/>
        <v>0</v>
      </c>
      <c r="AF176" s="433">
        <f t="shared" si="26"/>
        <v>0</v>
      </c>
      <c r="AG176" s="434">
        <f t="shared" si="26"/>
        <v>0</v>
      </c>
      <c r="AH176" s="434">
        <f t="shared" si="26"/>
        <v>0</v>
      </c>
    </row>
    <row r="177" spans="1:34" ht="33" customHeight="1" x14ac:dyDescent="0.35">
      <c r="A177" s="413" t="s">
        <v>414</v>
      </c>
      <c r="B177" s="260" t="s">
        <v>50</v>
      </c>
      <c r="C177" s="259" t="s">
        <v>441</v>
      </c>
      <c r="D177" s="260" t="s">
        <v>916</v>
      </c>
      <c r="E177" s="260" t="s">
        <v>442</v>
      </c>
      <c r="F177" s="414"/>
      <c r="G177" s="429">
        <v>0</v>
      </c>
      <c r="H177" s="430">
        <v>0</v>
      </c>
      <c r="I177" s="431">
        <v>0</v>
      </c>
      <c r="J177" s="432">
        <v>0.1</v>
      </c>
      <c r="K177" s="433">
        <v>0.11111111111111115</v>
      </c>
      <c r="L177" s="434">
        <v>0.1875</v>
      </c>
      <c r="M177" s="435">
        <v>94.432722117529551</v>
      </c>
      <c r="N177" s="420">
        <v>-94.432722117529551</v>
      </c>
      <c r="T177" s="415">
        <f t="shared" si="19"/>
        <v>0</v>
      </c>
      <c r="U177" s="416">
        <f t="shared" si="20"/>
        <v>0</v>
      </c>
      <c r="V177" s="416">
        <f t="shared" si="21"/>
        <v>0</v>
      </c>
      <c r="W177" s="417">
        <f t="shared" si="22"/>
        <v>-4.2105263157894784E-2</v>
      </c>
      <c r="X177" s="418">
        <f t="shared" si="23"/>
        <v>-0.11111111111111108</v>
      </c>
      <c r="Y177" s="419">
        <f t="shared" si="24"/>
        <v>-8.3333333333333329E-2</v>
      </c>
      <c r="Z177" s="419">
        <f t="shared" si="25"/>
        <v>-4.5145935168795906E-2</v>
      </c>
      <c r="AB177" s="429">
        <f t="shared" si="27"/>
        <v>0</v>
      </c>
      <c r="AC177" s="430">
        <f t="shared" si="27"/>
        <v>0</v>
      </c>
      <c r="AD177" s="430">
        <f t="shared" si="27"/>
        <v>0</v>
      </c>
      <c r="AE177" s="432">
        <f t="shared" si="26"/>
        <v>0</v>
      </c>
      <c r="AF177" s="433">
        <f t="shared" si="26"/>
        <v>0</v>
      </c>
      <c r="AG177" s="434">
        <f t="shared" si="26"/>
        <v>0</v>
      </c>
      <c r="AH177" s="434">
        <f t="shared" si="26"/>
        <v>0</v>
      </c>
    </row>
    <row r="178" spans="1:34" ht="33" customHeight="1" x14ac:dyDescent="0.35">
      <c r="A178" s="413" t="s">
        <v>414</v>
      </c>
      <c r="B178" s="260" t="s">
        <v>53</v>
      </c>
      <c r="C178" s="259" t="s">
        <v>443</v>
      </c>
      <c r="D178" s="260" t="s">
        <v>916</v>
      </c>
      <c r="E178" s="260" t="s">
        <v>444</v>
      </c>
      <c r="F178" s="414"/>
      <c r="G178" s="429">
        <v>2</v>
      </c>
      <c r="H178" s="430">
        <v>0</v>
      </c>
      <c r="I178" s="431">
        <v>1</v>
      </c>
      <c r="J178" s="432">
        <v>0.1</v>
      </c>
      <c r="K178" s="433">
        <v>5.5555555555555573E-2</v>
      </c>
      <c r="L178" s="434">
        <v>0.1875</v>
      </c>
      <c r="M178" s="435">
        <v>71.086350974930411</v>
      </c>
      <c r="N178" s="420">
        <v>-71.086350974930411</v>
      </c>
      <c r="T178" s="415">
        <f t="shared" si="19"/>
        <v>0.5</v>
      </c>
      <c r="U178" s="416">
        <f t="shared" si="20"/>
        <v>0</v>
      </c>
      <c r="V178" s="416">
        <f t="shared" si="21"/>
        <v>0.25</v>
      </c>
      <c r="W178" s="417">
        <f t="shared" si="22"/>
        <v>-4.2105263157894784E-2</v>
      </c>
      <c r="X178" s="418">
        <f t="shared" si="23"/>
        <v>-0.18055555555555552</v>
      </c>
      <c r="Y178" s="419">
        <f t="shared" si="24"/>
        <v>-8.3333333333333329E-2</v>
      </c>
      <c r="Z178" s="419">
        <f t="shared" si="25"/>
        <v>0.17175494214671999</v>
      </c>
      <c r="AB178" s="429">
        <f t="shared" si="27"/>
        <v>0.5</v>
      </c>
      <c r="AC178" s="430">
        <f t="shared" si="27"/>
        <v>0</v>
      </c>
      <c r="AD178" s="430">
        <f t="shared" si="27"/>
        <v>0.25</v>
      </c>
      <c r="AE178" s="432">
        <f t="shared" si="26"/>
        <v>0</v>
      </c>
      <c r="AF178" s="433">
        <f t="shared" si="26"/>
        <v>0</v>
      </c>
      <c r="AG178" s="434">
        <f t="shared" si="26"/>
        <v>0</v>
      </c>
      <c r="AH178" s="434">
        <f t="shared" si="26"/>
        <v>0.17175494214671999</v>
      </c>
    </row>
    <row r="179" spans="1:34" ht="33" customHeight="1" x14ac:dyDescent="0.35">
      <c r="A179" s="413" t="s">
        <v>414</v>
      </c>
      <c r="B179" s="260" t="s">
        <v>56</v>
      </c>
      <c r="C179" s="259" t="s">
        <v>445</v>
      </c>
      <c r="D179" s="260" t="s">
        <v>916</v>
      </c>
      <c r="E179" s="260" t="s">
        <v>446</v>
      </c>
      <c r="F179" s="414"/>
      <c r="G179" s="429">
        <v>0</v>
      </c>
      <c r="H179" s="430">
        <v>0</v>
      </c>
      <c r="I179" s="431">
        <v>0</v>
      </c>
      <c r="J179" s="432">
        <v>0.2</v>
      </c>
      <c r="K179" s="433">
        <v>0.11111111111111115</v>
      </c>
      <c r="L179" s="434">
        <v>6.25E-2</v>
      </c>
      <c r="M179" s="435">
        <v>111.7619274317659</v>
      </c>
      <c r="N179" s="420">
        <v>-111.7619274317659</v>
      </c>
      <c r="T179" s="415">
        <f t="shared" si="19"/>
        <v>0</v>
      </c>
      <c r="U179" s="416">
        <f t="shared" si="20"/>
        <v>0</v>
      </c>
      <c r="V179" s="416">
        <f t="shared" si="21"/>
        <v>0</v>
      </c>
      <c r="W179" s="417">
        <f t="shared" si="22"/>
        <v>7.3684210526315755E-2</v>
      </c>
      <c r="X179" s="418">
        <f t="shared" si="23"/>
        <v>-0.11111111111111108</v>
      </c>
      <c r="Y179" s="419">
        <f t="shared" si="24"/>
        <v>-0.25</v>
      </c>
      <c r="Z179" s="419">
        <f t="shared" si="25"/>
        <v>-0.20614396834835874</v>
      </c>
      <c r="AB179" s="429">
        <f t="shared" si="27"/>
        <v>0</v>
      </c>
      <c r="AC179" s="430">
        <f t="shared" si="27"/>
        <v>0</v>
      </c>
      <c r="AD179" s="430">
        <f t="shared" si="27"/>
        <v>0</v>
      </c>
      <c r="AE179" s="432">
        <f t="shared" si="26"/>
        <v>7.3684210526315755E-2</v>
      </c>
      <c r="AF179" s="433">
        <f t="shared" si="26"/>
        <v>0</v>
      </c>
      <c r="AG179" s="434">
        <f t="shared" si="26"/>
        <v>0</v>
      </c>
      <c r="AH179" s="434">
        <f t="shared" si="26"/>
        <v>0</v>
      </c>
    </row>
    <row r="180" spans="1:34" ht="33" customHeight="1" x14ac:dyDescent="0.35">
      <c r="A180" s="413" t="s">
        <v>414</v>
      </c>
      <c r="B180" s="260" t="s">
        <v>59</v>
      </c>
      <c r="C180" s="259" t="s">
        <v>447</v>
      </c>
      <c r="D180" s="260" t="s">
        <v>919</v>
      </c>
      <c r="E180" s="260" t="s">
        <v>448</v>
      </c>
      <c r="F180" s="414"/>
      <c r="G180" s="429">
        <v>1</v>
      </c>
      <c r="H180" s="430">
        <v>0</v>
      </c>
      <c r="I180" s="431">
        <v>0</v>
      </c>
      <c r="J180" s="432">
        <v>0.1</v>
      </c>
      <c r="K180" s="433">
        <v>5.5555555555555573E-2</v>
      </c>
      <c r="L180" s="434">
        <v>0.125</v>
      </c>
      <c r="M180" s="435">
        <v>81.894150417827333</v>
      </c>
      <c r="N180" s="420">
        <v>-81.894150417827333</v>
      </c>
      <c r="T180" s="415">
        <f t="shared" si="19"/>
        <v>0.25</v>
      </c>
      <c r="U180" s="416">
        <f t="shared" si="20"/>
        <v>0</v>
      </c>
      <c r="V180" s="416">
        <f t="shared" si="21"/>
        <v>0</v>
      </c>
      <c r="W180" s="417">
        <f t="shared" si="22"/>
        <v>-4.2105263157894784E-2</v>
      </c>
      <c r="X180" s="418">
        <f t="shared" si="23"/>
        <v>-0.18055555555555552</v>
      </c>
      <c r="Y180" s="419">
        <f t="shared" si="24"/>
        <v>-0.16666666666666666</v>
      </c>
      <c r="Z180" s="419">
        <f t="shared" si="25"/>
        <v>7.1344425810111051E-2</v>
      </c>
      <c r="AB180" s="429">
        <f t="shared" si="27"/>
        <v>0.25</v>
      </c>
      <c r="AC180" s="430">
        <f t="shared" si="27"/>
        <v>0</v>
      </c>
      <c r="AD180" s="430">
        <f t="shared" si="27"/>
        <v>0</v>
      </c>
      <c r="AE180" s="432">
        <f t="shared" si="26"/>
        <v>0</v>
      </c>
      <c r="AF180" s="433">
        <f t="shared" si="26"/>
        <v>0</v>
      </c>
      <c r="AG180" s="434">
        <f t="shared" si="26"/>
        <v>0</v>
      </c>
      <c r="AH180" s="434">
        <f t="shared" si="26"/>
        <v>7.1344425810111051E-2</v>
      </c>
    </row>
    <row r="181" spans="1:34" ht="33" customHeight="1" x14ac:dyDescent="0.35">
      <c r="A181" s="413" t="s">
        <v>414</v>
      </c>
      <c r="B181" s="260" t="s">
        <v>62</v>
      </c>
      <c r="C181" s="259" t="s">
        <v>449</v>
      </c>
      <c r="D181" s="260" t="s">
        <v>919</v>
      </c>
      <c r="E181" s="260" t="s">
        <v>450</v>
      </c>
      <c r="F181" s="414"/>
      <c r="G181" s="429">
        <v>0</v>
      </c>
      <c r="H181" s="430">
        <v>0</v>
      </c>
      <c r="I181" s="431">
        <v>0</v>
      </c>
      <c r="J181" s="432">
        <v>0.1</v>
      </c>
      <c r="K181" s="433">
        <v>5.5555555555555573E-2</v>
      </c>
      <c r="L181" s="434">
        <v>0.1875</v>
      </c>
      <c r="M181" s="435">
        <v>117.38161559888584</v>
      </c>
      <c r="N181" s="420">
        <v>-117.38161559888584</v>
      </c>
      <c r="T181" s="415">
        <f t="shared" si="19"/>
        <v>0</v>
      </c>
      <c r="U181" s="416">
        <f t="shared" si="20"/>
        <v>0</v>
      </c>
      <c r="V181" s="416">
        <f t="shared" si="21"/>
        <v>0</v>
      </c>
      <c r="W181" s="417">
        <f t="shared" si="22"/>
        <v>-4.2105263157894784E-2</v>
      </c>
      <c r="X181" s="418">
        <f t="shared" si="23"/>
        <v>-0.18055555555555552</v>
      </c>
      <c r="Y181" s="419">
        <f t="shared" si="24"/>
        <v>-8.3333333333333329E-2</v>
      </c>
      <c r="Z181" s="419">
        <f t="shared" si="25"/>
        <v>-0.25835402216112607</v>
      </c>
      <c r="AB181" s="429">
        <f t="shared" si="27"/>
        <v>0</v>
      </c>
      <c r="AC181" s="430">
        <f t="shared" si="27"/>
        <v>0</v>
      </c>
      <c r="AD181" s="430">
        <f t="shared" si="27"/>
        <v>0</v>
      </c>
      <c r="AE181" s="432">
        <f t="shared" si="26"/>
        <v>0</v>
      </c>
      <c r="AF181" s="433">
        <f t="shared" si="26"/>
        <v>0</v>
      </c>
      <c r="AG181" s="434">
        <f t="shared" si="26"/>
        <v>0</v>
      </c>
      <c r="AH181" s="434">
        <f t="shared" si="26"/>
        <v>0</v>
      </c>
    </row>
    <row r="182" spans="1:34" ht="33" customHeight="1" x14ac:dyDescent="0.35">
      <c r="A182" s="413" t="s">
        <v>414</v>
      </c>
      <c r="B182" s="260" t="s">
        <v>65</v>
      </c>
      <c r="C182" s="259" t="s">
        <v>451</v>
      </c>
      <c r="D182" s="260" t="s">
        <v>919</v>
      </c>
      <c r="E182" s="260" t="s">
        <v>452</v>
      </c>
      <c r="F182" s="414"/>
      <c r="G182" s="429">
        <v>0</v>
      </c>
      <c r="H182" s="430">
        <v>1</v>
      </c>
      <c r="I182" s="431">
        <v>1</v>
      </c>
      <c r="J182" s="432">
        <v>0.05</v>
      </c>
      <c r="K182" s="433">
        <v>5.5555555555555573E-2</v>
      </c>
      <c r="L182" s="434">
        <v>6.25E-2</v>
      </c>
      <c r="M182" s="435">
        <v>130.79948373934863</v>
      </c>
      <c r="N182" s="420">
        <v>-130.79948373934863</v>
      </c>
      <c r="T182" s="415">
        <f t="shared" si="19"/>
        <v>0</v>
      </c>
      <c r="U182" s="416">
        <f t="shared" si="20"/>
        <v>0.25</v>
      </c>
      <c r="V182" s="416">
        <f t="shared" si="21"/>
        <v>0.25</v>
      </c>
      <c r="W182" s="417">
        <f t="shared" si="22"/>
        <v>-0.10000000000000006</v>
      </c>
      <c r="X182" s="418">
        <f t="shared" si="23"/>
        <v>-0.18055555555555552</v>
      </c>
      <c r="Y182" s="419">
        <f t="shared" si="24"/>
        <v>-0.25</v>
      </c>
      <c r="Z182" s="419">
        <f t="shared" si="25"/>
        <v>-0.38301354006195737</v>
      </c>
      <c r="AB182" s="429">
        <f t="shared" si="27"/>
        <v>0</v>
      </c>
      <c r="AC182" s="430">
        <f t="shared" si="27"/>
        <v>0.25</v>
      </c>
      <c r="AD182" s="430">
        <f t="shared" si="27"/>
        <v>0.25</v>
      </c>
      <c r="AE182" s="432">
        <f t="shared" si="26"/>
        <v>0</v>
      </c>
      <c r="AF182" s="433">
        <f t="shared" si="26"/>
        <v>0</v>
      </c>
      <c r="AG182" s="434">
        <f t="shared" si="26"/>
        <v>0</v>
      </c>
      <c r="AH182" s="434">
        <f t="shared" si="26"/>
        <v>0</v>
      </c>
    </row>
    <row r="183" spans="1:34" ht="33" customHeight="1" x14ac:dyDescent="0.35">
      <c r="A183" s="413" t="s">
        <v>414</v>
      </c>
      <c r="B183" s="260" t="s">
        <v>68</v>
      </c>
      <c r="C183" s="259" t="s">
        <v>453</v>
      </c>
      <c r="D183" s="260" t="s">
        <v>919</v>
      </c>
      <c r="E183" s="260" t="s">
        <v>454</v>
      </c>
      <c r="F183" s="414"/>
      <c r="G183" s="429">
        <v>0</v>
      </c>
      <c r="H183" s="430">
        <v>0</v>
      </c>
      <c r="I183" s="431">
        <v>0</v>
      </c>
      <c r="J183" s="432">
        <v>0.4</v>
      </c>
      <c r="K183" s="433">
        <v>0.33333333333333343</v>
      </c>
      <c r="L183" s="434">
        <v>0.3125</v>
      </c>
      <c r="M183" s="435">
        <v>22.704898956985502</v>
      </c>
      <c r="N183" s="420">
        <v>-22.704898956985502</v>
      </c>
      <c r="T183" s="415">
        <f t="shared" si="19"/>
        <v>0</v>
      </c>
      <c r="U183" s="416">
        <f t="shared" si="20"/>
        <v>0</v>
      </c>
      <c r="V183" s="416">
        <f t="shared" si="21"/>
        <v>0</v>
      </c>
      <c r="W183" s="417">
        <f t="shared" si="22"/>
        <v>0.30526315789473685</v>
      </c>
      <c r="X183" s="418">
        <f t="shared" si="23"/>
        <v>0.16666666666666677</v>
      </c>
      <c r="Y183" s="419">
        <f t="shared" si="24"/>
        <v>8.3333333333333329E-2</v>
      </c>
      <c r="Z183" s="419">
        <f t="shared" si="25"/>
        <v>0.62124575698872631</v>
      </c>
      <c r="AB183" s="429">
        <f t="shared" si="27"/>
        <v>0</v>
      </c>
      <c r="AC183" s="430">
        <f t="shared" si="27"/>
        <v>0</v>
      </c>
      <c r="AD183" s="430">
        <f t="shared" si="27"/>
        <v>0</v>
      </c>
      <c r="AE183" s="432">
        <f t="shared" si="26"/>
        <v>0.30526315789473685</v>
      </c>
      <c r="AF183" s="433">
        <f t="shared" si="26"/>
        <v>0.16666666666666677</v>
      </c>
      <c r="AG183" s="434">
        <f t="shared" si="26"/>
        <v>8.3333333333333329E-2</v>
      </c>
      <c r="AH183" s="434">
        <f t="shared" si="26"/>
        <v>0.62124575698872631</v>
      </c>
    </row>
    <row r="184" spans="1:34" ht="33" customHeight="1" x14ac:dyDescent="0.35">
      <c r="A184" s="413" t="s">
        <v>414</v>
      </c>
      <c r="B184" s="260" t="s">
        <v>71</v>
      </c>
      <c r="C184" s="259" t="s">
        <v>455</v>
      </c>
      <c r="D184" s="260" t="s">
        <v>916</v>
      </c>
      <c r="E184" s="260" t="s">
        <v>456</v>
      </c>
      <c r="F184" s="414"/>
      <c r="G184" s="429">
        <v>0</v>
      </c>
      <c r="H184" s="430">
        <v>1</v>
      </c>
      <c r="I184" s="431">
        <v>0</v>
      </c>
      <c r="J184" s="432">
        <v>0.1</v>
      </c>
      <c r="K184" s="433">
        <v>0.11111111111111115</v>
      </c>
      <c r="L184" s="434">
        <v>6.25E-2</v>
      </c>
      <c r="M184" s="435">
        <v>137.65236274953463</v>
      </c>
      <c r="N184" s="420">
        <v>-137.65236274953463</v>
      </c>
      <c r="T184" s="415">
        <f t="shared" si="19"/>
        <v>0</v>
      </c>
      <c r="U184" s="416">
        <f t="shared" si="20"/>
        <v>0.25</v>
      </c>
      <c r="V184" s="416">
        <f t="shared" si="21"/>
        <v>0</v>
      </c>
      <c r="W184" s="417">
        <f t="shared" si="22"/>
        <v>-4.2105263157894784E-2</v>
      </c>
      <c r="X184" s="418">
        <f t="shared" si="23"/>
        <v>-0.11111111111111108</v>
      </c>
      <c r="Y184" s="419">
        <f t="shared" si="24"/>
        <v>-0.25</v>
      </c>
      <c r="Z184" s="419">
        <f t="shared" si="25"/>
        <v>-0.44668062820887133</v>
      </c>
      <c r="AB184" s="429">
        <f t="shared" si="27"/>
        <v>0</v>
      </c>
      <c r="AC184" s="430">
        <f t="shared" si="27"/>
        <v>0.25</v>
      </c>
      <c r="AD184" s="430">
        <f t="shared" si="27"/>
        <v>0</v>
      </c>
      <c r="AE184" s="432">
        <f t="shared" si="26"/>
        <v>0</v>
      </c>
      <c r="AF184" s="433">
        <f t="shared" si="26"/>
        <v>0</v>
      </c>
      <c r="AG184" s="434">
        <f t="shared" si="26"/>
        <v>0</v>
      </c>
      <c r="AH184" s="434">
        <f t="shared" si="26"/>
        <v>0</v>
      </c>
    </row>
    <row r="185" spans="1:34" ht="33" customHeight="1" x14ac:dyDescent="0.35">
      <c r="A185" s="413" t="s">
        <v>414</v>
      </c>
      <c r="B185" s="260" t="s">
        <v>74</v>
      </c>
      <c r="C185" s="259" t="s">
        <v>457</v>
      </c>
      <c r="D185" s="260" t="s">
        <v>919</v>
      </c>
      <c r="E185" s="260" t="s">
        <v>458</v>
      </c>
      <c r="F185" s="414"/>
      <c r="G185" s="429">
        <v>2</v>
      </c>
      <c r="H185" s="430">
        <v>4</v>
      </c>
      <c r="I185" s="431">
        <v>4</v>
      </c>
      <c r="J185" s="432">
        <v>0.6</v>
      </c>
      <c r="K185" s="433">
        <v>0.61111111111111105</v>
      </c>
      <c r="L185" s="434">
        <v>0.625</v>
      </c>
      <c r="M185" s="476">
        <v>32.410225197808863</v>
      </c>
      <c r="N185" s="420">
        <v>-32.410225197808863</v>
      </c>
      <c r="T185" s="415">
        <f t="shared" si="19"/>
        <v>0.5</v>
      </c>
      <c r="U185" s="416">
        <f t="shared" si="20"/>
        <v>1</v>
      </c>
      <c r="V185" s="416">
        <f t="shared" si="21"/>
        <v>1</v>
      </c>
      <c r="W185" s="417">
        <f t="shared" si="22"/>
        <v>0.5368421052631579</v>
      </c>
      <c r="X185" s="418">
        <f t="shared" si="23"/>
        <v>0.51388888888888873</v>
      </c>
      <c r="Y185" s="419">
        <f t="shared" si="24"/>
        <v>0.5</v>
      </c>
      <c r="Z185" s="419">
        <f t="shared" si="25"/>
        <v>0.53107783481315485</v>
      </c>
      <c r="AB185" s="429">
        <f t="shared" si="27"/>
        <v>0.5</v>
      </c>
      <c r="AC185" s="430">
        <f t="shared" si="27"/>
        <v>1</v>
      </c>
      <c r="AD185" s="430">
        <f t="shared" si="27"/>
        <v>1</v>
      </c>
      <c r="AE185" s="432">
        <f t="shared" si="26"/>
        <v>0.5368421052631579</v>
      </c>
      <c r="AF185" s="433">
        <f t="shared" si="26"/>
        <v>0.51388888888888873</v>
      </c>
      <c r="AG185" s="434">
        <f t="shared" si="26"/>
        <v>0.5</v>
      </c>
      <c r="AH185" s="470">
        <f t="shared" si="26"/>
        <v>0.53107783481315485</v>
      </c>
    </row>
    <row r="186" spans="1:34" ht="33" customHeight="1" x14ac:dyDescent="0.35">
      <c r="A186" s="413" t="s">
        <v>414</v>
      </c>
      <c r="B186" s="260" t="s">
        <v>77</v>
      </c>
      <c r="C186" s="259" t="s">
        <v>459</v>
      </c>
      <c r="D186" s="260" t="s">
        <v>916</v>
      </c>
      <c r="E186" s="260" t="s">
        <v>460</v>
      </c>
      <c r="F186" s="414"/>
      <c r="G186" s="429">
        <v>1</v>
      </c>
      <c r="H186" s="430">
        <v>1</v>
      </c>
      <c r="I186" s="431">
        <v>2</v>
      </c>
      <c r="J186" s="452">
        <v>0</v>
      </c>
      <c r="K186" s="453">
        <v>0</v>
      </c>
      <c r="L186" s="454">
        <v>0</v>
      </c>
      <c r="M186" s="455">
        <v>110.14614982061633</v>
      </c>
      <c r="N186" s="420">
        <v>-110.14614982061633</v>
      </c>
      <c r="T186" s="415">
        <f t="shared" si="19"/>
        <v>0.25</v>
      </c>
      <c r="U186" s="416">
        <f t="shared" si="20"/>
        <v>0.25</v>
      </c>
      <c r="V186" s="416">
        <f t="shared" si="21"/>
        <v>0.5</v>
      </c>
      <c r="W186" s="417">
        <f t="shared" si="22"/>
        <v>-0.15789473684210534</v>
      </c>
      <c r="X186" s="418">
        <f t="shared" si="23"/>
        <v>-0.25</v>
      </c>
      <c r="Y186" s="419">
        <f t="shared" si="24"/>
        <v>-0.33333333333333331</v>
      </c>
      <c r="Z186" s="419">
        <f t="shared" si="25"/>
        <v>-0.19113248843722025</v>
      </c>
      <c r="AB186" s="429">
        <f t="shared" si="27"/>
        <v>0.25</v>
      </c>
      <c r="AC186" s="430">
        <f t="shared" si="27"/>
        <v>0.25</v>
      </c>
      <c r="AD186" s="430">
        <f t="shared" si="27"/>
        <v>0.5</v>
      </c>
      <c r="AE186" s="432">
        <f t="shared" si="26"/>
        <v>0</v>
      </c>
      <c r="AF186" s="433">
        <f t="shared" si="26"/>
        <v>0</v>
      </c>
      <c r="AG186" s="434">
        <f t="shared" si="26"/>
        <v>0</v>
      </c>
      <c r="AH186" s="434">
        <f t="shared" si="26"/>
        <v>0</v>
      </c>
    </row>
    <row r="187" spans="1:34" ht="33" customHeight="1" x14ac:dyDescent="0.35">
      <c r="A187" s="413" t="s">
        <v>414</v>
      </c>
      <c r="B187" s="260" t="s">
        <v>80</v>
      </c>
      <c r="C187" s="259" t="s">
        <v>461</v>
      </c>
      <c r="D187" s="260" t="s">
        <v>916</v>
      </c>
      <c r="E187" s="260" t="s">
        <v>462</v>
      </c>
      <c r="F187" s="414"/>
      <c r="G187" s="429">
        <v>3</v>
      </c>
      <c r="H187" s="430">
        <v>4</v>
      </c>
      <c r="I187" s="431">
        <v>4</v>
      </c>
      <c r="J187" s="432">
        <v>0.15</v>
      </c>
      <c r="K187" s="433">
        <v>0.38888888888888884</v>
      </c>
      <c r="L187" s="434">
        <v>0.5625</v>
      </c>
      <c r="M187" s="463">
        <v>131.61898965307364</v>
      </c>
      <c r="N187" s="420">
        <v>-131.61898965307364</v>
      </c>
      <c r="T187" s="415">
        <f t="shared" si="19"/>
        <v>0.75</v>
      </c>
      <c r="U187" s="416">
        <f t="shared" si="20"/>
        <v>1</v>
      </c>
      <c r="V187" s="416">
        <f t="shared" si="21"/>
        <v>1</v>
      </c>
      <c r="W187" s="417">
        <f t="shared" si="22"/>
        <v>1.5789473684210468E-2</v>
      </c>
      <c r="X187" s="418">
        <f t="shared" si="23"/>
        <v>0.23611111111111102</v>
      </c>
      <c r="Y187" s="419">
        <f t="shared" si="24"/>
        <v>0.41666666666666669</v>
      </c>
      <c r="Z187" s="419">
        <f t="shared" si="25"/>
        <v>-0.39062720946550217</v>
      </c>
      <c r="AB187" s="429">
        <f t="shared" si="27"/>
        <v>0.75</v>
      </c>
      <c r="AC187" s="430">
        <f t="shared" si="27"/>
        <v>1</v>
      </c>
      <c r="AD187" s="430">
        <f t="shared" si="27"/>
        <v>1</v>
      </c>
      <c r="AE187" s="432">
        <f t="shared" si="26"/>
        <v>1.5789473684210468E-2</v>
      </c>
      <c r="AF187" s="433">
        <f t="shared" si="26"/>
        <v>0.23611111111111102</v>
      </c>
      <c r="AG187" s="434">
        <f t="shared" si="26"/>
        <v>0.41666666666666669</v>
      </c>
      <c r="AH187" s="434">
        <f t="shared" si="26"/>
        <v>0</v>
      </c>
    </row>
    <row r="188" spans="1:34" ht="33" customHeight="1" x14ac:dyDescent="0.35">
      <c r="A188" s="426" t="s">
        <v>414</v>
      </c>
      <c r="B188" s="427" t="s">
        <v>83</v>
      </c>
      <c r="C188" s="428" t="s">
        <v>463</v>
      </c>
      <c r="D188" s="260" t="s">
        <v>916</v>
      </c>
      <c r="E188" s="260" t="s">
        <v>464</v>
      </c>
      <c r="F188" s="414"/>
      <c r="G188" s="429">
        <v>4</v>
      </c>
      <c r="H188" s="430">
        <v>4</v>
      </c>
      <c r="I188" s="431">
        <v>4</v>
      </c>
      <c r="J188" s="432">
        <v>1</v>
      </c>
      <c r="K188" s="433">
        <v>1</v>
      </c>
      <c r="L188" s="434">
        <v>1</v>
      </c>
      <c r="M188" s="435">
        <v>-0.44845194022924739</v>
      </c>
      <c r="N188" s="420">
        <v>0.44845194022924739</v>
      </c>
      <c r="T188" s="415">
        <f t="shared" si="19"/>
        <v>1</v>
      </c>
      <c r="U188" s="416">
        <f t="shared" si="20"/>
        <v>1</v>
      </c>
      <c r="V188" s="416">
        <f t="shared" si="21"/>
        <v>1</v>
      </c>
      <c r="W188" s="417">
        <f t="shared" si="22"/>
        <v>1</v>
      </c>
      <c r="X188" s="418">
        <f t="shared" si="23"/>
        <v>1</v>
      </c>
      <c r="Y188" s="419">
        <f t="shared" si="24"/>
        <v>1</v>
      </c>
      <c r="Z188" s="419">
        <f t="shared" si="25"/>
        <v>0.83635336800568927</v>
      </c>
      <c r="AB188" s="429">
        <f t="shared" si="27"/>
        <v>1</v>
      </c>
      <c r="AC188" s="430">
        <f t="shared" si="27"/>
        <v>1</v>
      </c>
      <c r="AD188" s="430">
        <f t="shared" si="27"/>
        <v>1</v>
      </c>
      <c r="AE188" s="432">
        <f t="shared" si="26"/>
        <v>1</v>
      </c>
      <c r="AF188" s="433">
        <f t="shared" si="26"/>
        <v>1</v>
      </c>
      <c r="AG188" s="434">
        <f t="shared" si="26"/>
        <v>1</v>
      </c>
      <c r="AH188" s="434">
        <f t="shared" si="26"/>
        <v>0.83635336800568927</v>
      </c>
    </row>
    <row r="189" spans="1:34" ht="33" customHeight="1" x14ac:dyDescent="0.35">
      <c r="A189" s="413" t="s">
        <v>414</v>
      </c>
      <c r="B189" s="260" t="s">
        <v>86</v>
      </c>
      <c r="C189" s="259" t="s">
        <v>465</v>
      </c>
      <c r="D189" s="260" t="s">
        <v>916</v>
      </c>
      <c r="E189" s="260" t="s">
        <v>466</v>
      </c>
      <c r="F189" s="414"/>
      <c r="G189" s="429">
        <v>1</v>
      </c>
      <c r="H189" s="430">
        <v>0</v>
      </c>
      <c r="I189" s="431">
        <v>1</v>
      </c>
      <c r="J189" s="432">
        <v>0.1</v>
      </c>
      <c r="K189" s="433">
        <v>0.16666666666666657</v>
      </c>
      <c r="L189" s="434">
        <v>0.1875</v>
      </c>
      <c r="M189" s="435">
        <v>94.226856821844279</v>
      </c>
      <c r="N189" s="420">
        <v>-94.226856821844279</v>
      </c>
      <c r="T189" s="415">
        <f t="shared" si="19"/>
        <v>0.25</v>
      </c>
      <c r="U189" s="416">
        <f t="shared" si="20"/>
        <v>0</v>
      </c>
      <c r="V189" s="416">
        <f t="shared" si="21"/>
        <v>0.25</v>
      </c>
      <c r="W189" s="417">
        <f t="shared" si="22"/>
        <v>-4.2105263157894784E-2</v>
      </c>
      <c r="X189" s="418">
        <f t="shared" si="23"/>
        <v>-4.1666666666666796E-2</v>
      </c>
      <c r="Y189" s="419">
        <f t="shared" si="24"/>
        <v>-8.3333333333333329E-2</v>
      </c>
      <c r="Z189" s="419">
        <f t="shared" si="25"/>
        <v>-4.3233331151228564E-2</v>
      </c>
      <c r="AB189" s="429">
        <f t="shared" si="27"/>
        <v>0.25</v>
      </c>
      <c r="AC189" s="430">
        <f t="shared" si="27"/>
        <v>0</v>
      </c>
      <c r="AD189" s="430">
        <f t="shared" si="27"/>
        <v>0.25</v>
      </c>
      <c r="AE189" s="432">
        <f t="shared" si="26"/>
        <v>0</v>
      </c>
      <c r="AF189" s="433">
        <f t="shared" si="26"/>
        <v>0</v>
      </c>
      <c r="AG189" s="434">
        <f t="shared" si="26"/>
        <v>0</v>
      </c>
      <c r="AH189" s="434">
        <f t="shared" si="26"/>
        <v>0</v>
      </c>
    </row>
    <row r="190" spans="1:34" ht="33" customHeight="1" x14ac:dyDescent="0.35">
      <c r="A190" s="413" t="s">
        <v>414</v>
      </c>
      <c r="B190" s="260" t="s">
        <v>89</v>
      </c>
      <c r="C190" s="259" t="s">
        <v>467</v>
      </c>
      <c r="D190" s="260" t="s">
        <v>920</v>
      </c>
      <c r="E190" s="260" t="s">
        <v>468</v>
      </c>
      <c r="F190" s="414"/>
      <c r="G190" s="429">
        <v>0</v>
      </c>
      <c r="H190" s="430">
        <v>0</v>
      </c>
      <c r="I190" s="431">
        <v>0</v>
      </c>
      <c r="J190" s="432">
        <v>0.1</v>
      </c>
      <c r="K190" s="433">
        <v>0.22222222222222215</v>
      </c>
      <c r="L190" s="434">
        <v>0.1875</v>
      </c>
      <c r="M190" s="435">
        <v>124.17827298050145</v>
      </c>
      <c r="N190" s="420">
        <v>-124.17827298050145</v>
      </c>
      <c r="T190" s="415">
        <f t="shared" si="19"/>
        <v>0</v>
      </c>
      <c r="U190" s="416">
        <f t="shared" si="20"/>
        <v>0</v>
      </c>
      <c r="V190" s="416">
        <f t="shared" si="21"/>
        <v>0</v>
      </c>
      <c r="W190" s="417">
        <f t="shared" si="22"/>
        <v>-4.2105263157894784E-2</v>
      </c>
      <c r="X190" s="418">
        <f t="shared" si="23"/>
        <v>2.7777777777777679E-2</v>
      </c>
      <c r="Y190" s="419">
        <f t="shared" si="24"/>
        <v>-8.3333333333333329E-2</v>
      </c>
      <c r="Z190" s="419">
        <f t="shared" si="25"/>
        <v>-0.32149877985734421</v>
      </c>
      <c r="AB190" s="429">
        <f t="shared" si="27"/>
        <v>0</v>
      </c>
      <c r="AC190" s="430">
        <f t="shared" si="27"/>
        <v>0</v>
      </c>
      <c r="AD190" s="430">
        <f t="shared" si="27"/>
        <v>0</v>
      </c>
      <c r="AE190" s="432">
        <f t="shared" si="26"/>
        <v>0</v>
      </c>
      <c r="AF190" s="433">
        <f t="shared" si="26"/>
        <v>2.7777777777777679E-2</v>
      </c>
      <c r="AG190" s="434">
        <f t="shared" si="26"/>
        <v>0</v>
      </c>
      <c r="AH190" s="434">
        <f t="shared" si="26"/>
        <v>0</v>
      </c>
    </row>
    <row r="191" spans="1:34" ht="33" customHeight="1" x14ac:dyDescent="0.35">
      <c r="A191" s="413" t="s">
        <v>414</v>
      </c>
      <c r="B191" s="260" t="s">
        <v>92</v>
      </c>
      <c r="C191" s="259" t="s">
        <v>469</v>
      </c>
      <c r="D191" s="260" t="s">
        <v>919</v>
      </c>
      <c r="E191" s="260" t="s">
        <v>470</v>
      </c>
      <c r="F191" s="414"/>
      <c r="G191" s="429">
        <v>0</v>
      </c>
      <c r="H191" s="430">
        <v>0</v>
      </c>
      <c r="I191" s="431">
        <v>0</v>
      </c>
      <c r="J191" s="432">
        <v>0.1</v>
      </c>
      <c r="K191" s="433">
        <v>0.11111111111111115</v>
      </c>
      <c r="L191" s="434">
        <v>0.125</v>
      </c>
      <c r="M191" s="435">
        <v>115.00021665500176</v>
      </c>
      <c r="N191" s="420">
        <v>-115.00021665500176</v>
      </c>
      <c r="T191" s="415">
        <f t="shared" si="19"/>
        <v>0</v>
      </c>
      <c r="U191" s="416">
        <f t="shared" si="20"/>
        <v>0</v>
      </c>
      <c r="V191" s="416">
        <f t="shared" si="21"/>
        <v>0</v>
      </c>
      <c r="W191" s="417">
        <f t="shared" si="22"/>
        <v>-4.2105263157894784E-2</v>
      </c>
      <c r="X191" s="418">
        <f t="shared" si="23"/>
        <v>-0.11111111111111108</v>
      </c>
      <c r="Y191" s="419">
        <f t="shared" si="24"/>
        <v>-0.16666666666666666</v>
      </c>
      <c r="Z191" s="419">
        <f t="shared" si="25"/>
        <v>-0.23622949081482988</v>
      </c>
      <c r="AB191" s="429">
        <f t="shared" si="27"/>
        <v>0</v>
      </c>
      <c r="AC191" s="430">
        <f t="shared" si="27"/>
        <v>0</v>
      </c>
      <c r="AD191" s="430">
        <f t="shared" si="27"/>
        <v>0</v>
      </c>
      <c r="AE191" s="432">
        <f t="shared" si="26"/>
        <v>0</v>
      </c>
      <c r="AF191" s="433">
        <f t="shared" si="26"/>
        <v>0</v>
      </c>
      <c r="AG191" s="434">
        <f t="shared" si="26"/>
        <v>0</v>
      </c>
      <c r="AH191" s="434">
        <f t="shared" si="26"/>
        <v>0</v>
      </c>
    </row>
    <row r="192" spans="1:34" ht="33" customHeight="1" x14ac:dyDescent="0.35">
      <c r="A192" s="413" t="s">
        <v>414</v>
      </c>
      <c r="B192" s="260" t="s">
        <v>95</v>
      </c>
      <c r="C192" s="259" t="s">
        <v>471</v>
      </c>
      <c r="D192" s="260" t="s">
        <v>919</v>
      </c>
      <c r="E192" s="260" t="s">
        <v>472</v>
      </c>
      <c r="F192" s="414"/>
      <c r="G192" s="429">
        <v>0</v>
      </c>
      <c r="H192" s="430">
        <v>0</v>
      </c>
      <c r="I192" s="431">
        <v>1</v>
      </c>
      <c r="J192" s="432">
        <v>0.1</v>
      </c>
      <c r="K192" s="433">
        <v>0.11111111111111115</v>
      </c>
      <c r="L192" s="434">
        <v>0.1875</v>
      </c>
      <c r="M192" s="435">
        <v>143.6214615288153</v>
      </c>
      <c r="N192" s="420">
        <v>-143.6214615288153</v>
      </c>
      <c r="T192" s="415">
        <f t="shared" si="19"/>
        <v>0</v>
      </c>
      <c r="U192" s="416">
        <f t="shared" si="20"/>
        <v>0</v>
      </c>
      <c r="V192" s="416">
        <f t="shared" si="21"/>
        <v>0.25</v>
      </c>
      <c r="W192" s="417">
        <f t="shared" si="22"/>
        <v>-4.2105263157894784E-2</v>
      </c>
      <c r="X192" s="418">
        <f t="shared" si="23"/>
        <v>-0.11111111111111108</v>
      </c>
      <c r="Y192" s="419">
        <f t="shared" si="24"/>
        <v>-8.3333333333333329E-2</v>
      </c>
      <c r="Z192" s="419">
        <f t="shared" si="25"/>
        <v>-0.50213690250952969</v>
      </c>
      <c r="AB192" s="429">
        <f t="shared" si="27"/>
        <v>0</v>
      </c>
      <c r="AC192" s="430">
        <f t="shared" si="27"/>
        <v>0</v>
      </c>
      <c r="AD192" s="430">
        <f t="shared" si="27"/>
        <v>0.25</v>
      </c>
      <c r="AE192" s="432">
        <f t="shared" si="26"/>
        <v>0</v>
      </c>
      <c r="AF192" s="433">
        <f t="shared" si="26"/>
        <v>0</v>
      </c>
      <c r="AG192" s="434">
        <f t="shared" si="26"/>
        <v>0</v>
      </c>
      <c r="AH192" s="434">
        <f t="shared" si="26"/>
        <v>0</v>
      </c>
    </row>
    <row r="193" spans="1:34" ht="33" customHeight="1" x14ac:dyDescent="0.35">
      <c r="A193" s="413" t="s">
        <v>414</v>
      </c>
      <c r="B193" s="260" t="s">
        <v>98</v>
      </c>
      <c r="C193" s="259" t="s">
        <v>473</v>
      </c>
      <c r="D193" s="260" t="s">
        <v>918</v>
      </c>
      <c r="E193" s="260" t="s">
        <v>474</v>
      </c>
      <c r="F193" s="414"/>
      <c r="G193" s="429">
        <v>0</v>
      </c>
      <c r="H193" s="430">
        <v>0</v>
      </c>
      <c r="I193" s="431">
        <v>1</v>
      </c>
      <c r="J193" s="432">
        <v>0.2</v>
      </c>
      <c r="K193" s="433">
        <v>0.11111111111111115</v>
      </c>
      <c r="L193" s="434">
        <v>0.25</v>
      </c>
      <c r="M193" s="435">
        <v>97.310550983800255</v>
      </c>
      <c r="N193" s="420">
        <v>-97.310550983800255</v>
      </c>
      <c r="T193" s="415">
        <f t="shared" si="19"/>
        <v>0</v>
      </c>
      <c r="U193" s="416">
        <f t="shared" si="20"/>
        <v>0</v>
      </c>
      <c r="V193" s="416">
        <f t="shared" si="21"/>
        <v>0.25</v>
      </c>
      <c r="W193" s="417">
        <f t="shared" si="22"/>
        <v>7.3684210526315755E-2</v>
      </c>
      <c r="X193" s="418">
        <f t="shared" si="23"/>
        <v>-0.11111111111111108</v>
      </c>
      <c r="Y193" s="419">
        <f t="shared" si="24"/>
        <v>0</v>
      </c>
      <c r="Z193" s="419">
        <f t="shared" si="25"/>
        <v>-7.188257882298138E-2</v>
      </c>
      <c r="AB193" s="429">
        <f t="shared" si="27"/>
        <v>0</v>
      </c>
      <c r="AC193" s="430">
        <f t="shared" si="27"/>
        <v>0</v>
      </c>
      <c r="AD193" s="430">
        <f t="shared" si="27"/>
        <v>0.25</v>
      </c>
      <c r="AE193" s="432">
        <f t="shared" si="26"/>
        <v>7.3684210526315755E-2</v>
      </c>
      <c r="AF193" s="433">
        <f t="shared" si="26"/>
        <v>0</v>
      </c>
      <c r="AG193" s="434">
        <f t="shared" si="26"/>
        <v>0</v>
      </c>
      <c r="AH193" s="434">
        <f t="shared" si="26"/>
        <v>0</v>
      </c>
    </row>
    <row r="194" spans="1:34" ht="33" customHeight="1" x14ac:dyDescent="0.35">
      <c r="A194" s="413" t="s">
        <v>414</v>
      </c>
      <c r="B194" s="260" t="s">
        <v>101</v>
      </c>
      <c r="C194" s="259" t="s">
        <v>475</v>
      </c>
      <c r="D194" s="260" t="s">
        <v>919</v>
      </c>
      <c r="E194" s="260" t="s">
        <v>476</v>
      </c>
      <c r="F194" s="414"/>
      <c r="G194" s="429">
        <v>0</v>
      </c>
      <c r="H194" s="430">
        <v>0</v>
      </c>
      <c r="I194" s="431">
        <v>0</v>
      </c>
      <c r="J194" s="432">
        <v>0.35</v>
      </c>
      <c r="K194" s="433">
        <v>0.33333333333333343</v>
      </c>
      <c r="L194" s="434">
        <v>0.375</v>
      </c>
      <c r="M194" s="435">
        <v>112.91715294475277</v>
      </c>
      <c r="N194" s="420">
        <v>-112.91715294475277</v>
      </c>
      <c r="T194" s="415">
        <f t="shared" si="19"/>
        <v>0</v>
      </c>
      <c r="U194" s="416">
        <f t="shared" si="20"/>
        <v>0</v>
      </c>
      <c r="V194" s="416">
        <f t="shared" si="21"/>
        <v>0</v>
      </c>
      <c r="W194" s="417">
        <f t="shared" si="22"/>
        <v>0.24736842105263154</v>
      </c>
      <c r="X194" s="418">
        <f t="shared" si="23"/>
        <v>0.16666666666666677</v>
      </c>
      <c r="Y194" s="419">
        <f t="shared" si="24"/>
        <v>0.16666666666666666</v>
      </c>
      <c r="Z194" s="419">
        <f t="shared" si="25"/>
        <v>-0.21687666105394657</v>
      </c>
      <c r="AB194" s="429">
        <f t="shared" si="27"/>
        <v>0</v>
      </c>
      <c r="AC194" s="430">
        <f t="shared" si="27"/>
        <v>0</v>
      </c>
      <c r="AD194" s="430">
        <f t="shared" si="27"/>
        <v>0</v>
      </c>
      <c r="AE194" s="432">
        <f t="shared" si="26"/>
        <v>0.24736842105263154</v>
      </c>
      <c r="AF194" s="433">
        <f t="shared" si="26"/>
        <v>0.16666666666666677</v>
      </c>
      <c r="AG194" s="434">
        <f t="shared" si="26"/>
        <v>0.16666666666666666</v>
      </c>
      <c r="AH194" s="434">
        <f t="shared" si="26"/>
        <v>0</v>
      </c>
    </row>
    <row r="195" spans="1:34" ht="33" customHeight="1" x14ac:dyDescent="0.35">
      <c r="A195" s="413" t="s">
        <v>414</v>
      </c>
      <c r="B195" s="260" t="s">
        <v>104</v>
      </c>
      <c r="C195" s="259" t="s">
        <v>477</v>
      </c>
      <c r="D195" s="260" t="s">
        <v>919</v>
      </c>
      <c r="E195" s="260" t="s">
        <v>478</v>
      </c>
      <c r="F195" s="414"/>
      <c r="G195" s="429">
        <v>0</v>
      </c>
      <c r="H195" s="430">
        <v>0</v>
      </c>
      <c r="I195" s="431">
        <v>0</v>
      </c>
      <c r="J195" s="432">
        <v>0.2</v>
      </c>
      <c r="K195" s="433">
        <v>0.16666666666666657</v>
      </c>
      <c r="L195" s="434">
        <v>0.25</v>
      </c>
      <c r="M195" s="435">
        <v>109.12830175287768</v>
      </c>
      <c r="N195" s="420">
        <v>-109.12830175287768</v>
      </c>
      <c r="T195" s="415">
        <f t="shared" si="19"/>
        <v>0</v>
      </c>
      <c r="U195" s="416">
        <f t="shared" si="20"/>
        <v>0</v>
      </c>
      <c r="V195" s="416">
        <f t="shared" si="21"/>
        <v>0</v>
      </c>
      <c r="W195" s="417">
        <f t="shared" si="22"/>
        <v>7.3684210526315755E-2</v>
      </c>
      <c r="X195" s="418">
        <f t="shared" si="23"/>
        <v>-4.1666666666666796E-2</v>
      </c>
      <c r="Y195" s="419">
        <f t="shared" si="24"/>
        <v>0</v>
      </c>
      <c r="Z195" s="419">
        <f t="shared" si="25"/>
        <v>-0.18167610922017</v>
      </c>
      <c r="AB195" s="429">
        <f t="shared" si="27"/>
        <v>0</v>
      </c>
      <c r="AC195" s="430">
        <f t="shared" si="27"/>
        <v>0</v>
      </c>
      <c r="AD195" s="430">
        <f t="shared" si="27"/>
        <v>0</v>
      </c>
      <c r="AE195" s="432">
        <f t="shared" si="26"/>
        <v>7.3684210526315755E-2</v>
      </c>
      <c r="AF195" s="433">
        <f t="shared" si="26"/>
        <v>0</v>
      </c>
      <c r="AG195" s="434">
        <f t="shared" si="26"/>
        <v>0</v>
      </c>
      <c r="AH195" s="434">
        <f t="shared" si="26"/>
        <v>0</v>
      </c>
    </row>
    <row r="196" spans="1:34" ht="33" customHeight="1" x14ac:dyDescent="0.35">
      <c r="A196" s="413" t="s">
        <v>414</v>
      </c>
      <c r="B196" s="260" t="s">
        <v>107</v>
      </c>
      <c r="C196" s="259" t="s">
        <v>479</v>
      </c>
      <c r="D196" s="260" t="s">
        <v>916</v>
      </c>
      <c r="E196" s="260" t="s">
        <v>480</v>
      </c>
      <c r="F196" s="414"/>
      <c r="G196" s="429">
        <v>4</v>
      </c>
      <c r="H196" s="430">
        <v>4</v>
      </c>
      <c r="I196" s="431">
        <v>4</v>
      </c>
      <c r="J196" s="432">
        <v>0.35</v>
      </c>
      <c r="K196" s="433">
        <v>0.77777777777777768</v>
      </c>
      <c r="L196" s="434">
        <v>0.75</v>
      </c>
      <c r="M196" s="463">
        <v>158.27754108338405</v>
      </c>
      <c r="N196" s="420">
        <v>-158.27754108338405</v>
      </c>
      <c r="T196" s="415">
        <f t="shared" ref="T196:T259" si="28">(G196-$R$3)/($Q$3-$R$3)</f>
        <v>1</v>
      </c>
      <c r="U196" s="416">
        <f t="shared" ref="U196:U259" si="29">(H196-$R$4)/($Q$4-$R$4)</f>
        <v>1</v>
      </c>
      <c r="V196" s="416">
        <f t="shared" ref="V196:V259" si="30">(I196-$R$5)/($Q$5-$R$5)</f>
        <v>1</v>
      </c>
      <c r="W196" s="417">
        <f t="shared" ref="W196:W259" si="31">(J196-$R$7)/($Q$7-$R$7)</f>
        <v>0.24736842105263154</v>
      </c>
      <c r="X196" s="418">
        <f t="shared" ref="X196:X259" si="32">(K196-$R$8)/($Q$8-$R$8)</f>
        <v>0.7222222222222221</v>
      </c>
      <c r="Y196" s="419">
        <f t="shared" ref="Y196:Y259" si="33">(L196-$R$9)/($Q$9-$R$9)</f>
        <v>0.66666666666666663</v>
      </c>
      <c r="Z196" s="419">
        <f t="shared" si="25"/>
        <v>-0.63830009866430693</v>
      </c>
      <c r="AB196" s="429">
        <f t="shared" si="27"/>
        <v>1</v>
      </c>
      <c r="AC196" s="430">
        <f t="shared" si="27"/>
        <v>1</v>
      </c>
      <c r="AD196" s="430">
        <f t="shared" si="27"/>
        <v>1</v>
      </c>
      <c r="AE196" s="432">
        <f t="shared" si="27"/>
        <v>0.24736842105263154</v>
      </c>
      <c r="AF196" s="433">
        <f t="shared" si="27"/>
        <v>0.7222222222222221</v>
      </c>
      <c r="AG196" s="434">
        <f t="shared" si="27"/>
        <v>0.66666666666666663</v>
      </c>
      <c r="AH196" s="434">
        <f t="shared" si="27"/>
        <v>0</v>
      </c>
    </row>
    <row r="197" spans="1:34" ht="33" customHeight="1" x14ac:dyDescent="0.35">
      <c r="A197" s="413" t="s">
        <v>414</v>
      </c>
      <c r="B197" s="260" t="s">
        <v>110</v>
      </c>
      <c r="C197" s="259" t="s">
        <v>481</v>
      </c>
      <c r="D197" s="260" t="s">
        <v>916</v>
      </c>
      <c r="E197" s="260" t="s">
        <v>482</v>
      </c>
      <c r="F197" s="414"/>
      <c r="G197" s="429">
        <v>2</v>
      </c>
      <c r="H197" s="430">
        <v>1</v>
      </c>
      <c r="I197" s="431">
        <v>1</v>
      </c>
      <c r="J197" s="432">
        <v>0.3</v>
      </c>
      <c r="K197" s="433">
        <v>0.55555555555555558</v>
      </c>
      <c r="L197" s="434">
        <v>0.6875</v>
      </c>
      <c r="M197" s="435">
        <v>110.72458519654245</v>
      </c>
      <c r="N197" s="420">
        <v>-110.72458519654245</v>
      </c>
      <c r="T197" s="415">
        <f t="shared" si="28"/>
        <v>0.5</v>
      </c>
      <c r="U197" s="416">
        <f t="shared" si="29"/>
        <v>0.25</v>
      </c>
      <c r="V197" s="416">
        <f t="shared" si="30"/>
        <v>0.25</v>
      </c>
      <c r="W197" s="417">
        <f t="shared" si="31"/>
        <v>0.18947368421052627</v>
      </c>
      <c r="X197" s="418">
        <f t="shared" si="32"/>
        <v>0.44444444444444442</v>
      </c>
      <c r="Y197" s="419">
        <f t="shared" si="33"/>
        <v>0.58333333333333337</v>
      </c>
      <c r="Z197" s="419">
        <f t="shared" ref="Z197:Z260" si="34">(N197-$R$11)/($Q$11-$R$11)</f>
        <v>-0.19650647738575447</v>
      </c>
      <c r="AB197" s="429">
        <f t="shared" si="27"/>
        <v>0.5</v>
      </c>
      <c r="AC197" s="430">
        <f t="shared" si="27"/>
        <v>0.25</v>
      </c>
      <c r="AD197" s="430">
        <f t="shared" si="27"/>
        <v>0.25</v>
      </c>
      <c r="AE197" s="432">
        <f t="shared" si="27"/>
        <v>0.18947368421052627</v>
      </c>
      <c r="AF197" s="433">
        <f t="shared" si="27"/>
        <v>0.44444444444444442</v>
      </c>
      <c r="AG197" s="434">
        <f t="shared" si="27"/>
        <v>0.58333333333333337</v>
      </c>
      <c r="AH197" s="434">
        <f t="shared" si="27"/>
        <v>0</v>
      </c>
    </row>
    <row r="198" spans="1:34" ht="33" customHeight="1" x14ac:dyDescent="0.35">
      <c r="A198" s="413" t="s">
        <v>414</v>
      </c>
      <c r="B198" s="260" t="s">
        <v>113</v>
      </c>
      <c r="C198" s="259" t="s">
        <v>483</v>
      </c>
      <c r="D198" s="260" t="s">
        <v>916</v>
      </c>
      <c r="E198" s="260" t="s">
        <v>484</v>
      </c>
      <c r="F198" s="414"/>
      <c r="G198" s="429">
        <v>0</v>
      </c>
      <c r="H198" s="430">
        <v>0</v>
      </c>
      <c r="I198" s="431">
        <v>0</v>
      </c>
      <c r="J198" s="432">
        <v>0.15</v>
      </c>
      <c r="K198" s="433">
        <v>0.16666666666666657</v>
      </c>
      <c r="L198" s="434">
        <v>0.375</v>
      </c>
      <c r="M198" s="435">
        <v>108.04175539717264</v>
      </c>
      <c r="N198" s="420">
        <v>-108.04175539717264</v>
      </c>
      <c r="T198" s="415">
        <f t="shared" si="28"/>
        <v>0</v>
      </c>
      <c r="U198" s="416">
        <f t="shared" si="29"/>
        <v>0</v>
      </c>
      <c r="V198" s="416">
        <f t="shared" si="30"/>
        <v>0</v>
      </c>
      <c r="W198" s="417">
        <f t="shared" si="31"/>
        <v>1.5789473684210468E-2</v>
      </c>
      <c r="X198" s="418">
        <f t="shared" si="32"/>
        <v>-4.1666666666666796E-2</v>
      </c>
      <c r="Y198" s="419">
        <f t="shared" si="33"/>
        <v>0.16666666666666666</v>
      </c>
      <c r="Z198" s="419">
        <f t="shared" si="34"/>
        <v>-0.17158148439145829</v>
      </c>
      <c r="AB198" s="429">
        <f t="shared" si="27"/>
        <v>0</v>
      </c>
      <c r="AC198" s="430">
        <f t="shared" si="27"/>
        <v>0</v>
      </c>
      <c r="AD198" s="430">
        <f t="shared" si="27"/>
        <v>0</v>
      </c>
      <c r="AE198" s="432">
        <f t="shared" si="27"/>
        <v>1.5789473684210468E-2</v>
      </c>
      <c r="AF198" s="433">
        <f t="shared" si="27"/>
        <v>0</v>
      </c>
      <c r="AG198" s="434">
        <f t="shared" si="27"/>
        <v>0.16666666666666666</v>
      </c>
      <c r="AH198" s="434">
        <f t="shared" si="27"/>
        <v>0</v>
      </c>
    </row>
    <row r="199" spans="1:34" ht="33" customHeight="1" x14ac:dyDescent="0.35">
      <c r="A199" s="413" t="s">
        <v>414</v>
      </c>
      <c r="B199" s="260" t="s">
        <v>116</v>
      </c>
      <c r="C199" s="259" t="s">
        <v>485</v>
      </c>
      <c r="D199" s="260" t="s">
        <v>916</v>
      </c>
      <c r="E199" s="260" t="s">
        <v>486</v>
      </c>
      <c r="F199" s="414"/>
      <c r="G199" s="429">
        <v>0</v>
      </c>
      <c r="H199" s="430">
        <v>0</v>
      </c>
      <c r="I199" s="431">
        <v>0</v>
      </c>
      <c r="J199" s="432">
        <v>0.2</v>
      </c>
      <c r="K199" s="433">
        <v>0.27777777777777785</v>
      </c>
      <c r="L199" s="434">
        <v>0.25</v>
      </c>
      <c r="M199" s="435">
        <v>107.72634780215697</v>
      </c>
      <c r="N199" s="420">
        <v>-107.72634780215697</v>
      </c>
      <c r="T199" s="415">
        <f t="shared" si="28"/>
        <v>0</v>
      </c>
      <c r="U199" s="416">
        <f t="shared" si="29"/>
        <v>0</v>
      </c>
      <c r="V199" s="416">
        <f t="shared" si="30"/>
        <v>0</v>
      </c>
      <c r="W199" s="417">
        <f t="shared" si="31"/>
        <v>7.3684210526315755E-2</v>
      </c>
      <c r="X199" s="418">
        <f t="shared" si="32"/>
        <v>9.7222222222222293E-2</v>
      </c>
      <c r="Y199" s="419">
        <f t="shared" si="33"/>
        <v>0</v>
      </c>
      <c r="Z199" s="419">
        <f t="shared" si="34"/>
        <v>-0.16865117099701185</v>
      </c>
      <c r="AB199" s="429">
        <f t="shared" si="27"/>
        <v>0</v>
      </c>
      <c r="AC199" s="430">
        <f t="shared" si="27"/>
        <v>0</v>
      </c>
      <c r="AD199" s="430">
        <f t="shared" si="27"/>
        <v>0</v>
      </c>
      <c r="AE199" s="432">
        <f t="shared" si="27"/>
        <v>7.3684210526315755E-2</v>
      </c>
      <c r="AF199" s="433">
        <f t="shared" si="27"/>
        <v>9.7222222222222293E-2</v>
      </c>
      <c r="AG199" s="434">
        <f t="shared" si="27"/>
        <v>0</v>
      </c>
      <c r="AH199" s="434">
        <f t="shared" si="27"/>
        <v>0</v>
      </c>
    </row>
    <row r="200" spans="1:34" ht="33" customHeight="1" x14ac:dyDescent="0.35">
      <c r="A200" s="413" t="s">
        <v>414</v>
      </c>
      <c r="B200" s="260" t="s">
        <v>119</v>
      </c>
      <c r="C200" s="259" t="s">
        <v>487</v>
      </c>
      <c r="D200" s="260" t="s">
        <v>919</v>
      </c>
      <c r="E200" s="260" t="s">
        <v>488</v>
      </c>
      <c r="F200" s="414"/>
      <c r="G200" s="429">
        <v>0</v>
      </c>
      <c r="H200" s="430">
        <v>0</v>
      </c>
      <c r="I200" s="431">
        <v>0</v>
      </c>
      <c r="J200" s="432">
        <v>0.2</v>
      </c>
      <c r="K200" s="433">
        <v>0.27777777777777785</v>
      </c>
      <c r="L200" s="434">
        <v>0.4375</v>
      </c>
      <c r="M200" s="435">
        <v>39.052924791086383</v>
      </c>
      <c r="N200" s="420">
        <v>-39.052924791086383</v>
      </c>
      <c r="T200" s="415">
        <f t="shared" si="28"/>
        <v>0</v>
      </c>
      <c r="U200" s="416">
        <f t="shared" si="29"/>
        <v>0</v>
      </c>
      <c r="V200" s="416">
        <f t="shared" si="30"/>
        <v>0</v>
      </c>
      <c r="W200" s="417">
        <f t="shared" si="31"/>
        <v>7.3684210526315755E-2</v>
      </c>
      <c r="X200" s="418">
        <f t="shared" si="32"/>
        <v>9.7222222222222293E-2</v>
      </c>
      <c r="Y200" s="419">
        <f t="shared" si="33"/>
        <v>0.25</v>
      </c>
      <c r="Z200" s="419">
        <f t="shared" si="34"/>
        <v>0.46936343128873159</v>
      </c>
      <c r="AB200" s="429">
        <f t="shared" si="27"/>
        <v>0</v>
      </c>
      <c r="AC200" s="430">
        <f t="shared" si="27"/>
        <v>0</v>
      </c>
      <c r="AD200" s="430">
        <f t="shared" si="27"/>
        <v>0</v>
      </c>
      <c r="AE200" s="432">
        <f t="shared" si="27"/>
        <v>7.3684210526315755E-2</v>
      </c>
      <c r="AF200" s="433">
        <f t="shared" si="27"/>
        <v>9.7222222222222293E-2</v>
      </c>
      <c r="AG200" s="434">
        <f t="shared" si="27"/>
        <v>0.25</v>
      </c>
      <c r="AH200" s="434">
        <f t="shared" si="27"/>
        <v>0.46936343128873159</v>
      </c>
    </row>
    <row r="201" spans="1:34" ht="33" customHeight="1" x14ac:dyDescent="0.35">
      <c r="A201" s="413" t="s">
        <v>414</v>
      </c>
      <c r="B201" s="260" t="s">
        <v>122</v>
      </c>
      <c r="C201" s="259" t="s">
        <v>489</v>
      </c>
      <c r="D201" s="260" t="s">
        <v>916</v>
      </c>
      <c r="E201" s="260" t="s">
        <v>490</v>
      </c>
      <c r="F201" s="414"/>
      <c r="G201" s="429">
        <v>1</v>
      </c>
      <c r="H201" s="430">
        <v>2</v>
      </c>
      <c r="I201" s="431">
        <v>4</v>
      </c>
      <c r="J201" s="432">
        <v>0.25</v>
      </c>
      <c r="K201" s="433">
        <v>0.44444444444444442</v>
      </c>
      <c r="L201" s="434">
        <v>0.5</v>
      </c>
      <c r="M201" s="463">
        <v>85.788192331101612</v>
      </c>
      <c r="N201" s="420">
        <v>-85.788192331101612</v>
      </c>
      <c r="T201" s="415">
        <f t="shared" si="28"/>
        <v>0.25</v>
      </c>
      <c r="U201" s="416">
        <f t="shared" si="29"/>
        <v>0.5</v>
      </c>
      <c r="V201" s="416">
        <f t="shared" si="30"/>
        <v>1</v>
      </c>
      <c r="W201" s="417">
        <f t="shared" si="31"/>
        <v>0.13157894736842102</v>
      </c>
      <c r="X201" s="418">
        <f t="shared" si="32"/>
        <v>0.30555555555555547</v>
      </c>
      <c r="Y201" s="419">
        <f t="shared" si="33"/>
        <v>0.33333333333333331</v>
      </c>
      <c r="Z201" s="419">
        <f t="shared" si="34"/>
        <v>3.5166593198196622E-2</v>
      </c>
      <c r="AB201" s="429">
        <f t="shared" si="27"/>
        <v>0.25</v>
      </c>
      <c r="AC201" s="430">
        <f t="shared" si="27"/>
        <v>0.5</v>
      </c>
      <c r="AD201" s="430">
        <f t="shared" si="27"/>
        <v>1</v>
      </c>
      <c r="AE201" s="432">
        <f t="shared" si="27"/>
        <v>0.13157894736842102</v>
      </c>
      <c r="AF201" s="433">
        <f t="shared" si="27"/>
        <v>0.30555555555555547</v>
      </c>
      <c r="AG201" s="434">
        <f t="shared" si="27"/>
        <v>0.33333333333333331</v>
      </c>
      <c r="AH201" s="434">
        <f t="shared" si="27"/>
        <v>3.5166593198196622E-2</v>
      </c>
    </row>
    <row r="202" spans="1:34" ht="33" customHeight="1" x14ac:dyDescent="0.35">
      <c r="A202" s="413" t="s">
        <v>414</v>
      </c>
      <c r="B202" s="260" t="s">
        <v>125</v>
      </c>
      <c r="C202" s="259" t="s">
        <v>491</v>
      </c>
      <c r="D202" s="260" t="s">
        <v>916</v>
      </c>
      <c r="E202" s="260" t="s">
        <v>492</v>
      </c>
      <c r="F202" s="414"/>
      <c r="G202" s="429">
        <v>0</v>
      </c>
      <c r="H202" s="430">
        <v>0</v>
      </c>
      <c r="I202" s="431">
        <v>0</v>
      </c>
      <c r="J202" s="432">
        <v>0.2</v>
      </c>
      <c r="K202" s="433">
        <v>0.16666666666666657</v>
      </c>
      <c r="L202" s="434">
        <v>0.1875</v>
      </c>
      <c r="M202" s="435">
        <v>128.92986107583894</v>
      </c>
      <c r="N202" s="420">
        <v>-128.92986107583894</v>
      </c>
      <c r="T202" s="415">
        <f t="shared" si="28"/>
        <v>0</v>
      </c>
      <c r="U202" s="416">
        <f t="shared" si="29"/>
        <v>0</v>
      </c>
      <c r="V202" s="416">
        <f t="shared" si="30"/>
        <v>0</v>
      </c>
      <c r="W202" s="417">
        <f t="shared" si="31"/>
        <v>7.3684210526315755E-2</v>
      </c>
      <c r="X202" s="418">
        <f t="shared" si="32"/>
        <v>-4.1666666666666796E-2</v>
      </c>
      <c r="Y202" s="419">
        <f t="shared" si="33"/>
        <v>-8.3333333333333329E-2</v>
      </c>
      <c r="Z202" s="419">
        <f t="shared" si="34"/>
        <v>-0.36564369729336182</v>
      </c>
      <c r="AB202" s="429">
        <f t="shared" si="27"/>
        <v>0</v>
      </c>
      <c r="AC202" s="430">
        <f t="shared" si="27"/>
        <v>0</v>
      </c>
      <c r="AD202" s="430">
        <f t="shared" si="27"/>
        <v>0</v>
      </c>
      <c r="AE202" s="432">
        <f t="shared" si="27"/>
        <v>7.3684210526315755E-2</v>
      </c>
      <c r="AF202" s="433">
        <f t="shared" si="27"/>
        <v>0</v>
      </c>
      <c r="AG202" s="434">
        <f t="shared" si="27"/>
        <v>0</v>
      </c>
      <c r="AH202" s="434">
        <f t="shared" si="27"/>
        <v>0</v>
      </c>
    </row>
    <row r="203" spans="1:34" ht="33" customHeight="1" x14ac:dyDescent="0.35">
      <c r="A203" s="413" t="s">
        <v>414</v>
      </c>
      <c r="B203" s="260" t="s">
        <v>128</v>
      </c>
      <c r="C203" s="259" t="s">
        <v>493</v>
      </c>
      <c r="D203" s="260" t="s">
        <v>918</v>
      </c>
      <c r="E203" s="260" t="s">
        <v>494</v>
      </c>
      <c r="F203" s="414"/>
      <c r="G203" s="429">
        <v>1</v>
      </c>
      <c r="H203" s="430">
        <v>0</v>
      </c>
      <c r="I203" s="431">
        <v>0</v>
      </c>
      <c r="J203" s="432">
        <v>0.2</v>
      </c>
      <c r="K203" s="433">
        <v>0.27777777777777785</v>
      </c>
      <c r="L203" s="434">
        <v>0.3125</v>
      </c>
      <c r="M203" s="435">
        <v>5.6762366959241533</v>
      </c>
      <c r="N203" s="420">
        <v>-5.6762366959241533</v>
      </c>
      <c r="T203" s="415">
        <f t="shared" si="28"/>
        <v>0.25</v>
      </c>
      <c r="U203" s="416">
        <f t="shared" si="29"/>
        <v>0</v>
      </c>
      <c r="V203" s="416">
        <f t="shared" si="30"/>
        <v>0</v>
      </c>
      <c r="W203" s="417">
        <f t="shared" si="31"/>
        <v>7.3684210526315755E-2</v>
      </c>
      <c r="X203" s="418">
        <f t="shared" si="32"/>
        <v>9.7222222222222293E-2</v>
      </c>
      <c r="Y203" s="419">
        <f t="shared" si="33"/>
        <v>8.3333333333333329E-2</v>
      </c>
      <c r="Z203" s="419">
        <f t="shared" si="34"/>
        <v>0.77945157670151199</v>
      </c>
      <c r="AB203" s="429">
        <f t="shared" si="27"/>
        <v>0.25</v>
      </c>
      <c r="AC203" s="430">
        <f t="shared" si="27"/>
        <v>0</v>
      </c>
      <c r="AD203" s="430">
        <f t="shared" si="27"/>
        <v>0</v>
      </c>
      <c r="AE203" s="432">
        <f t="shared" si="27"/>
        <v>7.3684210526315755E-2</v>
      </c>
      <c r="AF203" s="433">
        <f t="shared" si="27"/>
        <v>9.7222222222222293E-2</v>
      </c>
      <c r="AG203" s="434">
        <f t="shared" si="27"/>
        <v>8.3333333333333329E-2</v>
      </c>
      <c r="AH203" s="434">
        <f t="shared" si="27"/>
        <v>0.77945157670151199</v>
      </c>
    </row>
    <row r="204" spans="1:34" ht="33" customHeight="1" x14ac:dyDescent="0.35">
      <c r="A204" s="413" t="s">
        <v>414</v>
      </c>
      <c r="B204" s="260" t="s">
        <v>131</v>
      </c>
      <c r="C204" s="259" t="s">
        <v>495</v>
      </c>
      <c r="D204" s="260" t="s">
        <v>938</v>
      </c>
      <c r="E204" s="260" t="s">
        <v>496</v>
      </c>
      <c r="F204" s="414"/>
      <c r="G204" s="429">
        <v>0</v>
      </c>
      <c r="H204" s="430">
        <v>0</v>
      </c>
      <c r="I204" s="431">
        <v>0</v>
      </c>
      <c r="J204" s="432">
        <v>0.10526315789473685</v>
      </c>
      <c r="K204" s="433">
        <v>0.38888888888888884</v>
      </c>
      <c r="L204" s="434">
        <v>0.3125</v>
      </c>
      <c r="M204" s="435">
        <v>103.0186689654097</v>
      </c>
      <c r="N204" s="420">
        <v>-103.0186689654097</v>
      </c>
      <c r="T204" s="415">
        <f t="shared" si="28"/>
        <v>0</v>
      </c>
      <c r="U204" s="416">
        <f t="shared" si="29"/>
        <v>0</v>
      </c>
      <c r="V204" s="416">
        <f t="shared" si="30"/>
        <v>0</v>
      </c>
      <c r="W204" s="417">
        <f t="shared" si="31"/>
        <v>-3.6011080332410017E-2</v>
      </c>
      <c r="X204" s="418">
        <f t="shared" si="32"/>
        <v>0.23611111111111102</v>
      </c>
      <c r="Y204" s="419">
        <f t="shared" si="33"/>
        <v>8.3333333333333329E-2</v>
      </c>
      <c r="Z204" s="419">
        <f t="shared" si="34"/>
        <v>-0.12491419519150813</v>
      </c>
      <c r="AB204" s="429">
        <f t="shared" si="27"/>
        <v>0</v>
      </c>
      <c r="AC204" s="430">
        <f t="shared" si="27"/>
        <v>0</v>
      </c>
      <c r="AD204" s="430">
        <f t="shared" si="27"/>
        <v>0</v>
      </c>
      <c r="AE204" s="432">
        <f t="shared" si="27"/>
        <v>0</v>
      </c>
      <c r="AF204" s="433">
        <f t="shared" si="27"/>
        <v>0.23611111111111102</v>
      </c>
      <c r="AG204" s="434">
        <f t="shared" si="27"/>
        <v>8.3333333333333329E-2</v>
      </c>
      <c r="AH204" s="434">
        <f t="shared" si="27"/>
        <v>0</v>
      </c>
    </row>
    <row r="205" spans="1:34" ht="33" customHeight="1" x14ac:dyDescent="0.35">
      <c r="A205" s="413" t="s">
        <v>414</v>
      </c>
      <c r="B205" s="260" t="s">
        <v>134</v>
      </c>
      <c r="C205" s="259" t="s">
        <v>497</v>
      </c>
      <c r="D205" s="260" t="s">
        <v>919</v>
      </c>
      <c r="E205" s="260" t="s">
        <v>498</v>
      </c>
      <c r="F205" s="414"/>
      <c r="G205" s="429">
        <v>0</v>
      </c>
      <c r="H205" s="430">
        <v>0</v>
      </c>
      <c r="I205" s="431">
        <v>0</v>
      </c>
      <c r="J205" s="432">
        <v>5.2631578947368494E-2</v>
      </c>
      <c r="K205" s="433">
        <v>0.16666666666666657</v>
      </c>
      <c r="L205" s="434">
        <v>0.25</v>
      </c>
      <c r="M205" s="435">
        <v>66.0621466024526</v>
      </c>
      <c r="N205" s="420">
        <v>-66.0621466024526</v>
      </c>
      <c r="T205" s="415">
        <f t="shared" si="28"/>
        <v>0</v>
      </c>
      <c r="U205" s="416">
        <f t="shared" si="29"/>
        <v>0</v>
      </c>
      <c r="V205" s="416">
        <f t="shared" si="30"/>
        <v>0</v>
      </c>
      <c r="W205" s="417">
        <f t="shared" si="31"/>
        <v>-9.6952908587257594E-2</v>
      </c>
      <c r="X205" s="418">
        <f t="shared" si="32"/>
        <v>-4.1666666666666796E-2</v>
      </c>
      <c r="Y205" s="419">
        <f t="shared" si="33"/>
        <v>0</v>
      </c>
      <c r="Z205" s="419">
        <f t="shared" si="34"/>
        <v>0.21843261764269717</v>
      </c>
      <c r="AB205" s="429">
        <f t="shared" si="27"/>
        <v>0</v>
      </c>
      <c r="AC205" s="430">
        <f t="shared" si="27"/>
        <v>0</v>
      </c>
      <c r="AD205" s="430">
        <f t="shared" si="27"/>
        <v>0</v>
      </c>
      <c r="AE205" s="432">
        <f t="shared" si="27"/>
        <v>0</v>
      </c>
      <c r="AF205" s="433">
        <f t="shared" si="27"/>
        <v>0</v>
      </c>
      <c r="AG205" s="434">
        <f t="shared" si="27"/>
        <v>0</v>
      </c>
      <c r="AH205" s="434">
        <f t="shared" si="27"/>
        <v>0.21843261764269717</v>
      </c>
    </row>
    <row r="206" spans="1:34" ht="33" customHeight="1" x14ac:dyDescent="0.35">
      <c r="A206" s="413" t="s">
        <v>414</v>
      </c>
      <c r="B206" s="260" t="s">
        <v>137</v>
      </c>
      <c r="C206" s="259" t="s">
        <v>499</v>
      </c>
      <c r="D206" s="260" t="s">
        <v>916</v>
      </c>
      <c r="E206" s="260" t="s">
        <v>500</v>
      </c>
      <c r="F206" s="414"/>
      <c r="G206" s="429">
        <v>0</v>
      </c>
      <c r="H206" s="430">
        <v>1</v>
      </c>
      <c r="I206" s="431">
        <v>0</v>
      </c>
      <c r="J206" s="432">
        <v>0.15789473684210534</v>
      </c>
      <c r="K206" s="433">
        <v>0.33333333333333343</v>
      </c>
      <c r="L206" s="434">
        <v>0.3125</v>
      </c>
      <c r="M206" s="435">
        <v>93.719396285337609</v>
      </c>
      <c r="N206" s="420">
        <v>-93.719396285337609</v>
      </c>
      <c r="T206" s="415">
        <f t="shared" si="28"/>
        <v>0</v>
      </c>
      <c r="U206" s="416">
        <f t="shared" si="29"/>
        <v>0.25</v>
      </c>
      <c r="V206" s="416">
        <f t="shared" si="30"/>
        <v>0</v>
      </c>
      <c r="W206" s="417">
        <f t="shared" si="31"/>
        <v>2.4930747922437709E-2</v>
      </c>
      <c r="X206" s="418">
        <f t="shared" si="32"/>
        <v>0.16666666666666677</v>
      </c>
      <c r="Y206" s="419">
        <f t="shared" si="33"/>
        <v>8.3333333333333329E-2</v>
      </c>
      <c r="Z206" s="419">
        <f t="shared" si="34"/>
        <v>-3.8518738253728466E-2</v>
      </c>
      <c r="AB206" s="429">
        <f t="shared" si="27"/>
        <v>0</v>
      </c>
      <c r="AC206" s="430">
        <f t="shared" si="27"/>
        <v>0.25</v>
      </c>
      <c r="AD206" s="430">
        <f t="shared" si="27"/>
        <v>0</v>
      </c>
      <c r="AE206" s="432">
        <f t="shared" si="27"/>
        <v>2.4930747922437709E-2</v>
      </c>
      <c r="AF206" s="433">
        <f t="shared" si="27"/>
        <v>0.16666666666666677</v>
      </c>
      <c r="AG206" s="434">
        <f t="shared" si="27"/>
        <v>8.3333333333333329E-2</v>
      </c>
      <c r="AH206" s="434">
        <f t="shared" si="27"/>
        <v>0</v>
      </c>
    </row>
    <row r="207" spans="1:34" ht="33" customHeight="1" x14ac:dyDescent="0.35">
      <c r="A207" s="413" t="s">
        <v>414</v>
      </c>
      <c r="B207" s="260" t="s">
        <v>140</v>
      </c>
      <c r="C207" s="259" t="s">
        <v>501</v>
      </c>
      <c r="D207" s="260" t="s">
        <v>916</v>
      </c>
      <c r="E207" s="260" t="s">
        <v>502</v>
      </c>
      <c r="F207" s="414"/>
      <c r="G207" s="429">
        <v>0</v>
      </c>
      <c r="H207" s="430">
        <v>1</v>
      </c>
      <c r="I207" s="431">
        <v>0</v>
      </c>
      <c r="J207" s="432">
        <v>0.31578947368421056</v>
      </c>
      <c r="K207" s="433">
        <v>0.33333333333333343</v>
      </c>
      <c r="L207" s="434">
        <v>0.4375</v>
      </c>
      <c r="M207" s="435">
        <v>123.94995259894657</v>
      </c>
      <c r="N207" s="420">
        <v>-123.94995259894657</v>
      </c>
      <c r="T207" s="415">
        <f t="shared" si="28"/>
        <v>0</v>
      </c>
      <c r="U207" s="416">
        <f t="shared" si="29"/>
        <v>0.25</v>
      </c>
      <c r="V207" s="416">
        <f t="shared" si="30"/>
        <v>0</v>
      </c>
      <c r="W207" s="417">
        <f t="shared" si="31"/>
        <v>0.20775623268698062</v>
      </c>
      <c r="X207" s="418">
        <f t="shared" si="32"/>
        <v>0.16666666666666677</v>
      </c>
      <c r="Y207" s="419">
        <f t="shared" si="33"/>
        <v>0.25</v>
      </c>
      <c r="Z207" s="419">
        <f t="shared" si="34"/>
        <v>-0.31937755550235636</v>
      </c>
      <c r="AB207" s="429">
        <f t="shared" si="27"/>
        <v>0</v>
      </c>
      <c r="AC207" s="430">
        <f t="shared" si="27"/>
        <v>0.25</v>
      </c>
      <c r="AD207" s="430">
        <f t="shared" si="27"/>
        <v>0</v>
      </c>
      <c r="AE207" s="432">
        <f t="shared" si="27"/>
        <v>0.20775623268698062</v>
      </c>
      <c r="AF207" s="433">
        <f t="shared" si="27"/>
        <v>0.16666666666666677</v>
      </c>
      <c r="AG207" s="434">
        <f t="shared" si="27"/>
        <v>0.25</v>
      </c>
      <c r="AH207" s="434">
        <f t="shared" si="27"/>
        <v>0</v>
      </c>
    </row>
    <row r="208" spans="1:34" ht="33" customHeight="1" x14ac:dyDescent="0.35">
      <c r="A208" s="413" t="s">
        <v>414</v>
      </c>
      <c r="B208" s="260" t="s">
        <v>143</v>
      </c>
      <c r="C208" s="259" t="s">
        <v>503</v>
      </c>
      <c r="D208" s="260" t="s">
        <v>916</v>
      </c>
      <c r="E208" s="260" t="s">
        <v>504</v>
      </c>
      <c r="F208" s="414"/>
      <c r="G208" s="429">
        <v>1</v>
      </c>
      <c r="H208" s="430">
        <v>0</v>
      </c>
      <c r="I208" s="431">
        <v>0</v>
      </c>
      <c r="J208" s="432">
        <v>0.10526315789473685</v>
      </c>
      <c r="K208" s="433">
        <v>5.5555555555555573E-2</v>
      </c>
      <c r="L208" s="434">
        <v>0</v>
      </c>
      <c r="M208" s="435">
        <v>66.825747873457033</v>
      </c>
      <c r="N208" s="420">
        <v>-66.825747873457033</v>
      </c>
      <c r="T208" s="415">
        <f t="shared" si="28"/>
        <v>0.25</v>
      </c>
      <c r="U208" s="416">
        <f t="shared" si="29"/>
        <v>0</v>
      </c>
      <c r="V208" s="416">
        <f t="shared" si="30"/>
        <v>0</v>
      </c>
      <c r="W208" s="417">
        <f t="shared" si="31"/>
        <v>-3.6011080332410017E-2</v>
      </c>
      <c r="X208" s="418">
        <f t="shared" si="32"/>
        <v>-0.18055555555555552</v>
      </c>
      <c r="Y208" s="419">
        <f t="shared" si="33"/>
        <v>-0.33333333333333331</v>
      </c>
      <c r="Z208" s="419">
        <f t="shared" si="34"/>
        <v>0.21133833371358177</v>
      </c>
      <c r="AB208" s="429">
        <f t="shared" si="27"/>
        <v>0.25</v>
      </c>
      <c r="AC208" s="430">
        <f t="shared" si="27"/>
        <v>0</v>
      </c>
      <c r="AD208" s="430">
        <f t="shared" si="27"/>
        <v>0</v>
      </c>
      <c r="AE208" s="432">
        <f t="shared" si="27"/>
        <v>0</v>
      </c>
      <c r="AF208" s="433">
        <f t="shared" si="27"/>
        <v>0</v>
      </c>
      <c r="AG208" s="434">
        <f t="shared" si="27"/>
        <v>0</v>
      </c>
      <c r="AH208" s="434">
        <f t="shared" si="27"/>
        <v>0.21133833371358177</v>
      </c>
    </row>
    <row r="209" spans="1:34" ht="33" customHeight="1" x14ac:dyDescent="0.35">
      <c r="A209" s="413" t="s">
        <v>414</v>
      </c>
      <c r="B209" s="260" t="s">
        <v>146</v>
      </c>
      <c r="C209" s="259" t="s">
        <v>505</v>
      </c>
      <c r="D209" s="260" t="s">
        <v>916</v>
      </c>
      <c r="E209" s="260" t="s">
        <v>506</v>
      </c>
      <c r="F209" s="414"/>
      <c r="G209" s="429">
        <v>0</v>
      </c>
      <c r="H209" s="430">
        <v>0</v>
      </c>
      <c r="I209" s="431">
        <v>0</v>
      </c>
      <c r="J209" s="432">
        <v>0.10526315789473685</v>
      </c>
      <c r="K209" s="433">
        <v>5.5555555555555573E-2</v>
      </c>
      <c r="L209" s="434">
        <v>0.125</v>
      </c>
      <c r="M209" s="435">
        <v>98.601719140699402</v>
      </c>
      <c r="N209" s="420">
        <v>-98.601719140699402</v>
      </c>
      <c r="T209" s="415">
        <f t="shared" si="28"/>
        <v>0</v>
      </c>
      <c r="U209" s="416">
        <f t="shared" si="29"/>
        <v>0</v>
      </c>
      <c r="V209" s="416">
        <f t="shared" si="30"/>
        <v>0</v>
      </c>
      <c r="W209" s="417">
        <f t="shared" si="31"/>
        <v>-3.6011080332410017E-2</v>
      </c>
      <c r="X209" s="418">
        <f t="shared" si="32"/>
        <v>-0.18055555555555552</v>
      </c>
      <c r="Y209" s="419">
        <f t="shared" si="33"/>
        <v>-0.16666666666666666</v>
      </c>
      <c r="Z209" s="419">
        <f t="shared" si="34"/>
        <v>-8.3878254908258607E-2</v>
      </c>
      <c r="AB209" s="429">
        <f t="shared" si="27"/>
        <v>0</v>
      </c>
      <c r="AC209" s="430">
        <f t="shared" si="27"/>
        <v>0</v>
      </c>
      <c r="AD209" s="430">
        <f t="shared" si="27"/>
        <v>0</v>
      </c>
      <c r="AE209" s="432">
        <f t="shared" si="27"/>
        <v>0</v>
      </c>
      <c r="AF209" s="433">
        <f t="shared" si="27"/>
        <v>0</v>
      </c>
      <c r="AG209" s="434">
        <f t="shared" si="27"/>
        <v>0</v>
      </c>
      <c r="AH209" s="434">
        <f t="shared" si="27"/>
        <v>0</v>
      </c>
    </row>
    <row r="210" spans="1:34" ht="33" customHeight="1" x14ac:dyDescent="0.35">
      <c r="A210" s="413" t="s">
        <v>414</v>
      </c>
      <c r="B210" s="260" t="s">
        <v>149</v>
      </c>
      <c r="C210" s="259" t="s">
        <v>507</v>
      </c>
      <c r="D210" s="260" t="s">
        <v>919</v>
      </c>
      <c r="E210" s="260" t="s">
        <v>508</v>
      </c>
      <c r="F210" s="414"/>
      <c r="G210" s="429">
        <v>4</v>
      </c>
      <c r="H210" s="430">
        <v>4</v>
      </c>
      <c r="I210" s="431">
        <v>4</v>
      </c>
      <c r="J210" s="432">
        <v>0.52631578947368429</v>
      </c>
      <c r="K210" s="433">
        <v>0.5</v>
      </c>
      <c r="L210" s="434">
        <v>0.5</v>
      </c>
      <c r="M210" s="435">
        <v>4.7353760445682509</v>
      </c>
      <c r="N210" s="420">
        <v>-4.7353760445682509</v>
      </c>
      <c r="T210" s="415">
        <f t="shared" si="28"/>
        <v>1</v>
      </c>
      <c r="U210" s="416">
        <f t="shared" si="29"/>
        <v>1</v>
      </c>
      <c r="V210" s="416">
        <f t="shared" si="30"/>
        <v>1</v>
      </c>
      <c r="W210" s="417">
        <f t="shared" si="31"/>
        <v>0.45152354570637127</v>
      </c>
      <c r="X210" s="418">
        <f t="shared" si="32"/>
        <v>0.37499999999999994</v>
      </c>
      <c r="Y210" s="419">
        <f t="shared" si="33"/>
        <v>0.33333333333333331</v>
      </c>
      <c r="Z210" s="419">
        <f t="shared" si="34"/>
        <v>0.78819269965652139</v>
      </c>
      <c r="AB210" s="429">
        <f t="shared" si="27"/>
        <v>1</v>
      </c>
      <c r="AC210" s="430">
        <f t="shared" si="27"/>
        <v>1</v>
      </c>
      <c r="AD210" s="430">
        <f t="shared" si="27"/>
        <v>1</v>
      </c>
      <c r="AE210" s="432">
        <f t="shared" si="27"/>
        <v>0.45152354570637127</v>
      </c>
      <c r="AF210" s="433">
        <f t="shared" si="27"/>
        <v>0.37499999999999994</v>
      </c>
      <c r="AG210" s="434">
        <f t="shared" si="27"/>
        <v>0.33333333333333331</v>
      </c>
      <c r="AH210" s="434">
        <f t="shared" si="27"/>
        <v>0.78819269965652139</v>
      </c>
    </row>
    <row r="211" spans="1:34" ht="33" customHeight="1" x14ac:dyDescent="0.35">
      <c r="A211" s="413" t="s">
        <v>414</v>
      </c>
      <c r="B211" s="260" t="s">
        <v>152</v>
      </c>
      <c r="C211" s="259" t="s">
        <v>509</v>
      </c>
      <c r="D211" s="260" t="s">
        <v>919</v>
      </c>
      <c r="E211" s="260" t="s">
        <v>510</v>
      </c>
      <c r="F211" s="414"/>
      <c r="G211" s="429">
        <v>0</v>
      </c>
      <c r="H211" s="430">
        <v>0</v>
      </c>
      <c r="I211" s="431">
        <v>0</v>
      </c>
      <c r="J211" s="432">
        <v>0.15789473684210534</v>
      </c>
      <c r="K211" s="433">
        <v>0.16666666666666657</v>
      </c>
      <c r="L211" s="434">
        <v>0.125</v>
      </c>
      <c r="M211" s="435">
        <v>123.4933988138402</v>
      </c>
      <c r="N211" s="420">
        <v>-123.4933988138402</v>
      </c>
      <c r="T211" s="415">
        <f t="shared" si="28"/>
        <v>0</v>
      </c>
      <c r="U211" s="416">
        <f t="shared" si="29"/>
        <v>0</v>
      </c>
      <c r="V211" s="416">
        <f t="shared" si="30"/>
        <v>0</v>
      </c>
      <c r="W211" s="417">
        <f t="shared" si="31"/>
        <v>2.4930747922437709E-2</v>
      </c>
      <c r="X211" s="418">
        <f t="shared" si="32"/>
        <v>-4.1666666666666796E-2</v>
      </c>
      <c r="Y211" s="419">
        <f t="shared" si="33"/>
        <v>-0.16666666666666666</v>
      </c>
      <c r="Z211" s="419">
        <f t="shared" si="34"/>
        <v>-0.31513591486679737</v>
      </c>
      <c r="AB211" s="429">
        <f t="shared" si="27"/>
        <v>0</v>
      </c>
      <c r="AC211" s="430">
        <f t="shared" si="27"/>
        <v>0</v>
      </c>
      <c r="AD211" s="430">
        <f t="shared" si="27"/>
        <v>0</v>
      </c>
      <c r="AE211" s="432">
        <f t="shared" si="27"/>
        <v>2.4930747922437709E-2</v>
      </c>
      <c r="AF211" s="433">
        <f t="shared" si="27"/>
        <v>0</v>
      </c>
      <c r="AG211" s="434">
        <f t="shared" si="27"/>
        <v>0</v>
      </c>
      <c r="AH211" s="434">
        <f t="shared" si="27"/>
        <v>0</v>
      </c>
    </row>
    <row r="212" spans="1:34" ht="33" customHeight="1" x14ac:dyDescent="0.35">
      <c r="A212" s="413" t="s">
        <v>414</v>
      </c>
      <c r="B212" s="260" t="s">
        <v>155</v>
      </c>
      <c r="C212" s="259" t="s">
        <v>511</v>
      </c>
      <c r="D212" s="260" t="s">
        <v>918</v>
      </c>
      <c r="E212" s="260" t="s">
        <v>512</v>
      </c>
      <c r="F212" s="414"/>
      <c r="G212" s="429">
        <v>0</v>
      </c>
      <c r="H212" s="430">
        <v>0</v>
      </c>
      <c r="I212" s="431">
        <v>0</v>
      </c>
      <c r="J212" s="432">
        <v>0.10526315789473685</v>
      </c>
      <c r="K212" s="433">
        <v>0.11111111111111115</v>
      </c>
      <c r="L212" s="434">
        <v>6.25E-2</v>
      </c>
      <c r="M212" s="435">
        <v>92.706770894461812</v>
      </c>
      <c r="N212" s="420">
        <v>-92.706770894461812</v>
      </c>
      <c r="T212" s="415">
        <f t="shared" si="28"/>
        <v>0</v>
      </c>
      <c r="U212" s="416">
        <f t="shared" si="29"/>
        <v>0</v>
      </c>
      <c r="V212" s="416">
        <f t="shared" si="30"/>
        <v>0</v>
      </c>
      <c r="W212" s="417">
        <f t="shared" si="31"/>
        <v>-3.6011080332410017E-2</v>
      </c>
      <c r="X212" s="418">
        <f t="shared" si="32"/>
        <v>-0.11111111111111108</v>
      </c>
      <c r="Y212" s="419">
        <f t="shared" si="33"/>
        <v>-0.25</v>
      </c>
      <c r="Z212" s="419">
        <f t="shared" si="34"/>
        <v>-2.9110880632885583E-2</v>
      </c>
      <c r="AB212" s="429">
        <f t="shared" si="27"/>
        <v>0</v>
      </c>
      <c r="AC212" s="430">
        <f t="shared" si="27"/>
        <v>0</v>
      </c>
      <c r="AD212" s="430">
        <f t="shared" si="27"/>
        <v>0</v>
      </c>
      <c r="AE212" s="432">
        <f t="shared" si="27"/>
        <v>0</v>
      </c>
      <c r="AF212" s="433">
        <f t="shared" si="27"/>
        <v>0</v>
      </c>
      <c r="AG212" s="434">
        <f t="shared" si="27"/>
        <v>0</v>
      </c>
      <c r="AH212" s="434">
        <f t="shared" si="27"/>
        <v>0</v>
      </c>
    </row>
    <row r="213" spans="1:34" ht="33" customHeight="1" x14ac:dyDescent="0.35">
      <c r="A213" s="413" t="s">
        <v>414</v>
      </c>
      <c r="B213" s="260" t="s">
        <v>158</v>
      </c>
      <c r="C213" s="259" t="s">
        <v>513</v>
      </c>
      <c r="D213" s="260" t="s">
        <v>918</v>
      </c>
      <c r="E213" s="260" t="s">
        <v>514</v>
      </c>
      <c r="F213" s="414"/>
      <c r="G213" s="429">
        <v>0</v>
      </c>
      <c r="H213" s="430">
        <v>0</v>
      </c>
      <c r="I213" s="431">
        <v>0</v>
      </c>
      <c r="J213" s="432">
        <v>0.10526315789473685</v>
      </c>
      <c r="K213" s="433">
        <v>0.11111111111111115</v>
      </c>
      <c r="L213" s="434">
        <v>0.125</v>
      </c>
      <c r="M213" s="435">
        <v>89.990213698354466</v>
      </c>
      <c r="N213" s="420">
        <v>-89.990213698354466</v>
      </c>
      <c r="T213" s="415">
        <f t="shared" si="28"/>
        <v>0</v>
      </c>
      <c r="U213" s="416">
        <f t="shared" si="29"/>
        <v>0</v>
      </c>
      <c r="V213" s="416">
        <f t="shared" si="30"/>
        <v>0</v>
      </c>
      <c r="W213" s="417">
        <f t="shared" si="31"/>
        <v>-3.6011080332410017E-2</v>
      </c>
      <c r="X213" s="418">
        <f t="shared" si="32"/>
        <v>-0.11111111111111108</v>
      </c>
      <c r="Y213" s="419">
        <f t="shared" si="33"/>
        <v>-0.16666666666666666</v>
      </c>
      <c r="Z213" s="419">
        <f t="shared" si="34"/>
        <v>-3.8725412132603362E-3</v>
      </c>
      <c r="AB213" s="429">
        <f t="shared" si="27"/>
        <v>0</v>
      </c>
      <c r="AC213" s="430">
        <f t="shared" si="27"/>
        <v>0</v>
      </c>
      <c r="AD213" s="430">
        <f t="shared" si="27"/>
        <v>0</v>
      </c>
      <c r="AE213" s="432">
        <f t="shared" si="27"/>
        <v>0</v>
      </c>
      <c r="AF213" s="433">
        <f t="shared" si="27"/>
        <v>0</v>
      </c>
      <c r="AG213" s="434">
        <f t="shared" si="27"/>
        <v>0</v>
      </c>
      <c r="AH213" s="434">
        <f t="shared" si="27"/>
        <v>0</v>
      </c>
    </row>
    <row r="214" spans="1:34" ht="33" customHeight="1" x14ac:dyDescent="0.35">
      <c r="A214" s="413" t="s">
        <v>414</v>
      </c>
      <c r="B214" s="260" t="s">
        <v>161</v>
      </c>
      <c r="C214" s="259" t="s">
        <v>515</v>
      </c>
      <c r="D214" s="260" t="s">
        <v>938</v>
      </c>
      <c r="E214" s="260" t="s">
        <v>516</v>
      </c>
      <c r="F214" s="414"/>
      <c r="G214" s="429">
        <v>0</v>
      </c>
      <c r="H214" s="430">
        <v>0</v>
      </c>
      <c r="I214" s="431">
        <v>0</v>
      </c>
      <c r="J214" s="432">
        <v>0.10526315789473685</v>
      </c>
      <c r="K214" s="433">
        <v>0.11111111111111115</v>
      </c>
      <c r="L214" s="434">
        <v>6.25E-2</v>
      </c>
      <c r="M214" s="435">
        <v>104.06144431502537</v>
      </c>
      <c r="N214" s="420">
        <v>-104.06144431502537</v>
      </c>
      <c r="T214" s="415">
        <f t="shared" si="28"/>
        <v>0</v>
      </c>
      <c r="U214" s="416">
        <f t="shared" si="29"/>
        <v>0</v>
      </c>
      <c r="V214" s="416">
        <f t="shared" si="30"/>
        <v>0</v>
      </c>
      <c r="W214" s="417">
        <f t="shared" si="31"/>
        <v>-3.6011080332410017E-2</v>
      </c>
      <c r="X214" s="418">
        <f t="shared" si="32"/>
        <v>-0.11111111111111108</v>
      </c>
      <c r="Y214" s="419">
        <f t="shared" si="33"/>
        <v>-0.25</v>
      </c>
      <c r="Z214" s="419">
        <f t="shared" si="34"/>
        <v>-0.13460216283295168</v>
      </c>
      <c r="AB214" s="429">
        <f t="shared" si="27"/>
        <v>0</v>
      </c>
      <c r="AC214" s="430">
        <f t="shared" si="27"/>
        <v>0</v>
      </c>
      <c r="AD214" s="430">
        <f t="shared" si="27"/>
        <v>0</v>
      </c>
      <c r="AE214" s="432">
        <f t="shared" si="27"/>
        <v>0</v>
      </c>
      <c r="AF214" s="433">
        <f t="shared" si="27"/>
        <v>0</v>
      </c>
      <c r="AG214" s="434">
        <f t="shared" si="27"/>
        <v>0</v>
      </c>
      <c r="AH214" s="434">
        <f t="shared" ref="AF214:AH260" si="35">IF(Z214&lt;0,0,Z214)</f>
        <v>0</v>
      </c>
    </row>
    <row r="215" spans="1:34" ht="33" customHeight="1" x14ac:dyDescent="0.35">
      <c r="A215" s="413" t="s">
        <v>414</v>
      </c>
      <c r="B215" s="260" t="s">
        <v>164</v>
      </c>
      <c r="C215" s="259" t="s">
        <v>517</v>
      </c>
      <c r="D215" s="260" t="s">
        <v>919</v>
      </c>
      <c r="E215" s="260" t="s">
        <v>518</v>
      </c>
      <c r="F215" s="414"/>
      <c r="G215" s="429">
        <v>0</v>
      </c>
      <c r="H215" s="430">
        <v>0</v>
      </c>
      <c r="I215" s="431">
        <v>0</v>
      </c>
      <c r="J215" s="432">
        <v>5.2631578947368494E-2</v>
      </c>
      <c r="K215" s="433">
        <v>0.11111111111111115</v>
      </c>
      <c r="L215" s="434">
        <v>0.125</v>
      </c>
      <c r="M215" s="435">
        <v>61.68414685134281</v>
      </c>
      <c r="N215" s="420">
        <v>-61.68414685134281</v>
      </c>
      <c r="T215" s="415">
        <f t="shared" si="28"/>
        <v>0</v>
      </c>
      <c r="U215" s="416">
        <f t="shared" si="29"/>
        <v>0</v>
      </c>
      <c r="V215" s="416">
        <f t="shared" si="30"/>
        <v>0</v>
      </c>
      <c r="W215" s="417">
        <f t="shared" si="31"/>
        <v>-9.6952908587257594E-2</v>
      </c>
      <c r="X215" s="418">
        <f t="shared" si="32"/>
        <v>-0.11111111111111108</v>
      </c>
      <c r="Y215" s="419">
        <f t="shared" si="33"/>
        <v>-0.16666666666666666</v>
      </c>
      <c r="Z215" s="419">
        <f t="shared" si="34"/>
        <v>0.2591066899044091</v>
      </c>
      <c r="AB215" s="429">
        <f t="shared" ref="AB215:AH271" si="36">IF(T215&lt;0,0,T215)</f>
        <v>0</v>
      </c>
      <c r="AC215" s="430">
        <f t="shared" si="36"/>
        <v>0</v>
      </c>
      <c r="AD215" s="430">
        <f t="shared" si="36"/>
        <v>0</v>
      </c>
      <c r="AE215" s="432">
        <f t="shared" si="36"/>
        <v>0</v>
      </c>
      <c r="AF215" s="433">
        <f t="shared" si="35"/>
        <v>0</v>
      </c>
      <c r="AG215" s="434">
        <f t="shared" si="35"/>
        <v>0</v>
      </c>
      <c r="AH215" s="434">
        <f t="shared" si="35"/>
        <v>0.2591066899044091</v>
      </c>
    </row>
    <row r="216" spans="1:34" ht="33" customHeight="1" x14ac:dyDescent="0.35">
      <c r="A216" s="413" t="s">
        <v>414</v>
      </c>
      <c r="B216" s="260" t="s">
        <v>167</v>
      </c>
      <c r="C216" s="259" t="s">
        <v>519</v>
      </c>
      <c r="D216" s="260" t="s">
        <v>916</v>
      </c>
      <c r="E216" s="260" t="s">
        <v>520</v>
      </c>
      <c r="F216" s="414"/>
      <c r="G216" s="429">
        <v>3</v>
      </c>
      <c r="H216" s="430">
        <v>3</v>
      </c>
      <c r="I216" s="431">
        <v>4</v>
      </c>
      <c r="J216" s="452">
        <v>0.13636363636363641</v>
      </c>
      <c r="K216" s="453">
        <v>0.44999999999999996</v>
      </c>
      <c r="L216" s="454">
        <v>0.55555555555555558</v>
      </c>
      <c r="M216" s="455">
        <v>14.81154027932137</v>
      </c>
      <c r="N216" s="420">
        <v>-14.81154027932137</v>
      </c>
      <c r="T216" s="415">
        <f t="shared" si="28"/>
        <v>0.75</v>
      </c>
      <c r="U216" s="416">
        <f t="shared" si="29"/>
        <v>0.75</v>
      </c>
      <c r="V216" s="416">
        <f t="shared" si="30"/>
        <v>1</v>
      </c>
      <c r="W216" s="417">
        <f t="shared" si="31"/>
        <v>0</v>
      </c>
      <c r="X216" s="418">
        <f t="shared" si="32"/>
        <v>0.31249999999999989</v>
      </c>
      <c r="Y216" s="419">
        <f t="shared" si="33"/>
        <v>0.40740740740740744</v>
      </c>
      <c r="Z216" s="419">
        <f t="shared" si="34"/>
        <v>0.69457948460292651</v>
      </c>
      <c r="AB216" s="429">
        <f t="shared" si="36"/>
        <v>0.75</v>
      </c>
      <c r="AC216" s="430">
        <f t="shared" si="36"/>
        <v>0.75</v>
      </c>
      <c r="AD216" s="430">
        <f t="shared" si="36"/>
        <v>1</v>
      </c>
      <c r="AE216" s="432">
        <f t="shared" si="36"/>
        <v>0</v>
      </c>
      <c r="AF216" s="433">
        <f t="shared" si="35"/>
        <v>0.31249999999999989</v>
      </c>
      <c r="AG216" s="434">
        <f t="shared" si="35"/>
        <v>0.40740740740740744</v>
      </c>
      <c r="AH216" s="434">
        <f t="shared" si="35"/>
        <v>0.69457948460292651</v>
      </c>
    </row>
    <row r="217" spans="1:34" ht="33" customHeight="1" x14ac:dyDescent="0.35">
      <c r="A217" s="413" t="s">
        <v>414</v>
      </c>
      <c r="B217" s="260" t="s">
        <v>170</v>
      </c>
      <c r="C217" s="259" t="s">
        <v>521</v>
      </c>
      <c r="D217" s="260" t="s">
        <v>916</v>
      </c>
      <c r="E217" s="260" t="s">
        <v>522</v>
      </c>
      <c r="F217" s="414"/>
      <c r="G217" s="429">
        <v>0</v>
      </c>
      <c r="H217" s="430">
        <v>0</v>
      </c>
      <c r="I217" s="431">
        <v>0</v>
      </c>
      <c r="J217" s="432">
        <v>0.15789473684210534</v>
      </c>
      <c r="K217" s="433">
        <v>0.11111111111111115</v>
      </c>
      <c r="L217" s="434">
        <v>0</v>
      </c>
      <c r="M217" s="435">
        <v>89.53698865234756</v>
      </c>
      <c r="N217" s="420">
        <v>-89.53698865234756</v>
      </c>
      <c r="T217" s="415">
        <f t="shared" si="28"/>
        <v>0</v>
      </c>
      <c r="U217" s="416">
        <f t="shared" si="29"/>
        <v>0</v>
      </c>
      <c r="V217" s="416">
        <f t="shared" si="30"/>
        <v>0</v>
      </c>
      <c r="W217" s="417">
        <f t="shared" si="31"/>
        <v>2.4930747922437709E-2</v>
      </c>
      <c r="X217" s="418">
        <f t="shared" si="32"/>
        <v>-0.11111111111111108</v>
      </c>
      <c r="Y217" s="419">
        <f t="shared" si="33"/>
        <v>-0.33333333333333331</v>
      </c>
      <c r="Z217" s="419">
        <f t="shared" si="34"/>
        <v>3.3817356977034461E-4</v>
      </c>
      <c r="AB217" s="429">
        <f t="shared" si="36"/>
        <v>0</v>
      </c>
      <c r="AC217" s="430">
        <f t="shared" si="36"/>
        <v>0</v>
      </c>
      <c r="AD217" s="430">
        <f t="shared" si="36"/>
        <v>0</v>
      </c>
      <c r="AE217" s="432">
        <f t="shared" si="36"/>
        <v>2.4930747922437709E-2</v>
      </c>
      <c r="AF217" s="433">
        <f t="shared" si="35"/>
        <v>0</v>
      </c>
      <c r="AG217" s="434">
        <f t="shared" si="35"/>
        <v>0</v>
      </c>
      <c r="AH217" s="434">
        <f t="shared" si="35"/>
        <v>3.3817356977034461E-4</v>
      </c>
    </row>
    <row r="218" spans="1:34" ht="33" customHeight="1" x14ac:dyDescent="0.35">
      <c r="A218" s="413" t="s">
        <v>414</v>
      </c>
      <c r="B218" s="260" t="s">
        <v>173</v>
      </c>
      <c r="C218" s="259" t="s">
        <v>523</v>
      </c>
      <c r="D218" s="260" t="s">
        <v>916</v>
      </c>
      <c r="E218" s="260" t="s">
        <v>524</v>
      </c>
      <c r="F218" s="414" t="s">
        <v>962</v>
      </c>
      <c r="G218" s="429">
        <v>0</v>
      </c>
      <c r="H218" s="430">
        <v>0</v>
      </c>
      <c r="I218" s="431">
        <v>0</v>
      </c>
      <c r="J218" s="432">
        <v>0.15789473684210534</v>
      </c>
      <c r="K218" s="433">
        <v>0.11111111111111115</v>
      </c>
      <c r="L218" s="434">
        <v>6.25E-2</v>
      </c>
      <c r="M218" s="435">
        <v>110.47663239500196</v>
      </c>
      <c r="N218" s="420">
        <v>-110.47663239500196</v>
      </c>
      <c r="T218" s="415">
        <f t="shared" si="28"/>
        <v>0</v>
      </c>
      <c r="U218" s="416">
        <f t="shared" si="29"/>
        <v>0</v>
      </c>
      <c r="V218" s="416">
        <f t="shared" si="30"/>
        <v>0</v>
      </c>
      <c r="W218" s="417">
        <f t="shared" si="31"/>
        <v>2.4930747922437709E-2</v>
      </c>
      <c r="X218" s="418">
        <f t="shared" si="32"/>
        <v>-0.11111111111111108</v>
      </c>
      <c r="Y218" s="419">
        <f t="shared" si="33"/>
        <v>-0.25</v>
      </c>
      <c r="Z218" s="419">
        <f t="shared" si="34"/>
        <v>-0.19420285684196723</v>
      </c>
      <c r="AB218" s="429">
        <f t="shared" si="36"/>
        <v>0</v>
      </c>
      <c r="AC218" s="430">
        <f t="shared" si="36"/>
        <v>0</v>
      </c>
      <c r="AD218" s="430">
        <f t="shared" si="36"/>
        <v>0</v>
      </c>
      <c r="AE218" s="432">
        <f t="shared" si="36"/>
        <v>2.4930747922437709E-2</v>
      </c>
      <c r="AF218" s="433">
        <f t="shared" si="35"/>
        <v>0</v>
      </c>
      <c r="AG218" s="434">
        <f t="shared" si="35"/>
        <v>0</v>
      </c>
      <c r="AH218" s="434">
        <f t="shared" si="35"/>
        <v>0</v>
      </c>
    </row>
    <row r="219" spans="1:34" ht="33" customHeight="1" x14ac:dyDescent="0.35">
      <c r="A219" s="413" t="s">
        <v>414</v>
      </c>
      <c r="B219" s="260" t="s">
        <v>176</v>
      </c>
      <c r="C219" s="259" t="s">
        <v>525</v>
      </c>
      <c r="D219" s="260" t="s">
        <v>916</v>
      </c>
      <c r="E219" s="260" t="s">
        <v>526</v>
      </c>
      <c r="F219" s="414"/>
      <c r="G219" s="429">
        <v>0</v>
      </c>
      <c r="H219" s="430">
        <v>0</v>
      </c>
      <c r="I219" s="431">
        <v>0</v>
      </c>
      <c r="J219" s="432">
        <v>5.2631578947368494E-2</v>
      </c>
      <c r="K219" s="433">
        <v>5.5555555555555573E-2</v>
      </c>
      <c r="L219" s="434">
        <v>0</v>
      </c>
      <c r="M219" s="435">
        <v>74.7404755256849</v>
      </c>
      <c r="N219" s="420">
        <v>-74.7404755256849</v>
      </c>
      <c r="T219" s="415">
        <f t="shared" si="28"/>
        <v>0</v>
      </c>
      <c r="U219" s="416">
        <f t="shared" si="29"/>
        <v>0</v>
      </c>
      <c r="V219" s="416">
        <f t="shared" si="30"/>
        <v>0</v>
      </c>
      <c r="W219" s="417">
        <f t="shared" si="31"/>
        <v>-9.6952908587257594E-2</v>
      </c>
      <c r="X219" s="418">
        <f t="shared" si="32"/>
        <v>-0.18055555555555552</v>
      </c>
      <c r="Y219" s="419">
        <f t="shared" si="33"/>
        <v>-0.33333333333333331</v>
      </c>
      <c r="Z219" s="419">
        <f t="shared" si="34"/>
        <v>0.13780607634493286</v>
      </c>
      <c r="AB219" s="429">
        <f t="shared" si="36"/>
        <v>0</v>
      </c>
      <c r="AC219" s="430">
        <f t="shared" si="36"/>
        <v>0</v>
      </c>
      <c r="AD219" s="430">
        <f t="shared" si="36"/>
        <v>0</v>
      </c>
      <c r="AE219" s="432">
        <f t="shared" si="36"/>
        <v>0</v>
      </c>
      <c r="AF219" s="433">
        <f t="shared" si="35"/>
        <v>0</v>
      </c>
      <c r="AG219" s="434">
        <f t="shared" si="35"/>
        <v>0</v>
      </c>
      <c r="AH219" s="434">
        <f t="shared" si="35"/>
        <v>0.13780607634493286</v>
      </c>
    </row>
    <row r="220" spans="1:34" ht="33" customHeight="1" x14ac:dyDescent="0.35">
      <c r="A220" s="426" t="s">
        <v>414</v>
      </c>
      <c r="B220" s="427" t="s">
        <v>179</v>
      </c>
      <c r="C220" s="428" t="s">
        <v>527</v>
      </c>
      <c r="D220" s="260" t="s">
        <v>916</v>
      </c>
      <c r="E220" s="260" t="s">
        <v>528</v>
      </c>
      <c r="F220" s="414"/>
      <c r="G220" s="429">
        <v>4</v>
      </c>
      <c r="H220" s="430">
        <v>4</v>
      </c>
      <c r="I220" s="431">
        <v>4</v>
      </c>
      <c r="J220" s="432">
        <v>1</v>
      </c>
      <c r="K220" s="433">
        <v>1</v>
      </c>
      <c r="L220" s="434">
        <v>1</v>
      </c>
      <c r="M220" s="435">
        <v>35.43175487465183</v>
      </c>
      <c r="N220" s="420">
        <v>-35.43175487465183</v>
      </c>
      <c r="T220" s="415">
        <f t="shared" si="28"/>
        <v>1</v>
      </c>
      <c r="U220" s="416">
        <f t="shared" si="29"/>
        <v>1</v>
      </c>
      <c r="V220" s="416">
        <f t="shared" si="30"/>
        <v>1</v>
      </c>
      <c r="W220" s="417">
        <f t="shared" si="31"/>
        <v>1</v>
      </c>
      <c r="X220" s="418">
        <f t="shared" si="32"/>
        <v>1</v>
      </c>
      <c r="Y220" s="419">
        <f t="shared" si="33"/>
        <v>1</v>
      </c>
      <c r="Z220" s="419">
        <f t="shared" si="34"/>
        <v>0.5030061300613069</v>
      </c>
      <c r="AB220" s="429">
        <f t="shared" si="36"/>
        <v>1</v>
      </c>
      <c r="AC220" s="430">
        <f t="shared" si="36"/>
        <v>1</v>
      </c>
      <c r="AD220" s="430">
        <f t="shared" si="36"/>
        <v>1</v>
      </c>
      <c r="AE220" s="432">
        <f t="shared" si="36"/>
        <v>1</v>
      </c>
      <c r="AF220" s="433">
        <f t="shared" si="35"/>
        <v>1</v>
      </c>
      <c r="AG220" s="434">
        <f t="shared" si="35"/>
        <v>1</v>
      </c>
      <c r="AH220" s="434">
        <f t="shared" si="35"/>
        <v>0.5030061300613069</v>
      </c>
    </row>
    <row r="221" spans="1:34" ht="33" customHeight="1" x14ac:dyDescent="0.35">
      <c r="A221" s="413" t="s">
        <v>414</v>
      </c>
      <c r="B221" s="260" t="s">
        <v>182</v>
      </c>
      <c r="C221" s="259" t="s">
        <v>529</v>
      </c>
      <c r="D221" s="260" t="s">
        <v>916</v>
      </c>
      <c r="E221" s="260" t="s">
        <v>530</v>
      </c>
      <c r="F221" s="414"/>
      <c r="G221" s="429">
        <v>1</v>
      </c>
      <c r="H221" s="430">
        <v>1</v>
      </c>
      <c r="I221" s="431">
        <v>0</v>
      </c>
      <c r="J221" s="432">
        <v>5.2631578947368494E-2</v>
      </c>
      <c r="K221" s="433">
        <v>0.11111111111111115</v>
      </c>
      <c r="L221" s="434">
        <v>0</v>
      </c>
      <c r="M221" s="435">
        <v>103.43378568793321</v>
      </c>
      <c r="N221" s="420">
        <v>-103.43378568793321</v>
      </c>
      <c r="T221" s="415">
        <f t="shared" si="28"/>
        <v>0.25</v>
      </c>
      <c r="U221" s="416">
        <f t="shared" si="29"/>
        <v>0.25</v>
      </c>
      <c r="V221" s="416">
        <f t="shared" si="30"/>
        <v>0</v>
      </c>
      <c r="W221" s="417">
        <f t="shared" si="31"/>
        <v>-9.6952908587257594E-2</v>
      </c>
      <c r="X221" s="418">
        <f t="shared" si="32"/>
        <v>-0.11111111111111108</v>
      </c>
      <c r="Y221" s="419">
        <f t="shared" si="33"/>
        <v>-0.33333333333333331</v>
      </c>
      <c r="Z221" s="419">
        <f t="shared" si="34"/>
        <v>-0.12877086228352569</v>
      </c>
      <c r="AB221" s="429">
        <f t="shared" si="36"/>
        <v>0.25</v>
      </c>
      <c r="AC221" s="430">
        <f t="shared" si="36"/>
        <v>0.25</v>
      </c>
      <c r="AD221" s="430">
        <f t="shared" si="36"/>
        <v>0</v>
      </c>
      <c r="AE221" s="432">
        <f t="shared" si="36"/>
        <v>0</v>
      </c>
      <c r="AF221" s="433">
        <f t="shared" si="35"/>
        <v>0</v>
      </c>
      <c r="AG221" s="434">
        <f t="shared" si="35"/>
        <v>0</v>
      </c>
      <c r="AH221" s="434">
        <f t="shared" si="35"/>
        <v>0</v>
      </c>
    </row>
    <row r="222" spans="1:34" ht="33" customHeight="1" x14ac:dyDescent="0.35">
      <c r="A222" s="413" t="s">
        <v>414</v>
      </c>
      <c r="B222" s="260" t="s">
        <v>185</v>
      </c>
      <c r="C222" s="259" t="s">
        <v>531</v>
      </c>
      <c r="D222" s="260" t="s">
        <v>918</v>
      </c>
      <c r="E222" s="260" t="s">
        <v>532</v>
      </c>
      <c r="F222" s="414"/>
      <c r="G222" s="429">
        <v>2</v>
      </c>
      <c r="H222" s="430">
        <v>1</v>
      </c>
      <c r="I222" s="431">
        <v>4</v>
      </c>
      <c r="J222" s="432">
        <v>5.2631578947368494E-2</v>
      </c>
      <c r="K222" s="433">
        <v>0.27777777777777785</v>
      </c>
      <c r="L222" s="434">
        <v>0.25</v>
      </c>
      <c r="M222" s="435">
        <v>55.555058157759078</v>
      </c>
      <c r="N222" s="420">
        <v>-55.555058157759078</v>
      </c>
      <c r="T222" s="415">
        <f t="shared" si="28"/>
        <v>0.5</v>
      </c>
      <c r="U222" s="416">
        <f t="shared" si="29"/>
        <v>0.25</v>
      </c>
      <c r="V222" s="416">
        <f t="shared" si="30"/>
        <v>1</v>
      </c>
      <c r="W222" s="417">
        <f t="shared" si="31"/>
        <v>-9.6952908587257594E-2</v>
      </c>
      <c r="X222" s="418">
        <f t="shared" si="32"/>
        <v>9.7222222222222293E-2</v>
      </c>
      <c r="Y222" s="419">
        <f t="shared" si="33"/>
        <v>0</v>
      </c>
      <c r="Z222" s="419">
        <f t="shared" si="34"/>
        <v>0.31604936020905494</v>
      </c>
      <c r="AB222" s="429">
        <f t="shared" si="36"/>
        <v>0.5</v>
      </c>
      <c r="AC222" s="430">
        <f t="shared" si="36"/>
        <v>0.25</v>
      </c>
      <c r="AD222" s="430">
        <f t="shared" si="36"/>
        <v>1</v>
      </c>
      <c r="AE222" s="432">
        <f t="shared" si="36"/>
        <v>0</v>
      </c>
      <c r="AF222" s="433">
        <f t="shared" si="35"/>
        <v>9.7222222222222293E-2</v>
      </c>
      <c r="AG222" s="434">
        <f t="shared" si="35"/>
        <v>0</v>
      </c>
      <c r="AH222" s="434">
        <f t="shared" si="35"/>
        <v>0.31604936020905494</v>
      </c>
    </row>
    <row r="223" spans="1:34" ht="33" customHeight="1" x14ac:dyDescent="0.35">
      <c r="A223" s="413" t="s">
        <v>414</v>
      </c>
      <c r="B223" s="260" t="s">
        <v>188</v>
      </c>
      <c r="C223" s="259" t="s">
        <v>533</v>
      </c>
      <c r="D223" s="260" t="s">
        <v>923</v>
      </c>
      <c r="E223" s="260" t="s">
        <v>534</v>
      </c>
      <c r="F223" s="414"/>
      <c r="G223" s="429">
        <v>0</v>
      </c>
      <c r="H223" s="430">
        <v>0</v>
      </c>
      <c r="I223" s="431">
        <v>0</v>
      </c>
      <c r="J223" s="432">
        <v>0.15789473684210534</v>
      </c>
      <c r="K223" s="433">
        <v>0.11111111111111115</v>
      </c>
      <c r="L223" s="434">
        <v>0</v>
      </c>
      <c r="M223" s="435">
        <v>93.871866295264653</v>
      </c>
      <c r="N223" s="420">
        <v>-93.871866295264653</v>
      </c>
      <c r="T223" s="415">
        <f t="shared" si="28"/>
        <v>0</v>
      </c>
      <c r="U223" s="416">
        <f t="shared" si="29"/>
        <v>0</v>
      </c>
      <c r="V223" s="416">
        <f t="shared" si="30"/>
        <v>0</v>
      </c>
      <c r="W223" s="417">
        <f t="shared" si="31"/>
        <v>2.4930747922437709E-2</v>
      </c>
      <c r="X223" s="418">
        <f t="shared" si="32"/>
        <v>-0.11111111111111108</v>
      </c>
      <c r="Y223" s="419">
        <f t="shared" si="33"/>
        <v>-0.33333333333333331</v>
      </c>
      <c r="Z223" s="419">
        <f t="shared" si="34"/>
        <v>-3.9935270129945327E-2</v>
      </c>
      <c r="AB223" s="429">
        <f t="shared" si="36"/>
        <v>0</v>
      </c>
      <c r="AC223" s="430">
        <f t="shared" si="36"/>
        <v>0</v>
      </c>
      <c r="AD223" s="430">
        <f t="shared" si="36"/>
        <v>0</v>
      </c>
      <c r="AE223" s="432">
        <f t="shared" si="36"/>
        <v>2.4930747922437709E-2</v>
      </c>
      <c r="AF223" s="433">
        <f t="shared" si="35"/>
        <v>0</v>
      </c>
      <c r="AG223" s="434">
        <f t="shared" si="35"/>
        <v>0</v>
      </c>
      <c r="AH223" s="434">
        <f t="shared" si="35"/>
        <v>0</v>
      </c>
    </row>
    <row r="224" spans="1:34" ht="33" customHeight="1" x14ac:dyDescent="0.35">
      <c r="A224" s="413" t="s">
        <v>414</v>
      </c>
      <c r="B224" s="260" t="s">
        <v>191</v>
      </c>
      <c r="C224" s="259" t="s">
        <v>535</v>
      </c>
      <c r="D224" s="260" t="s">
        <v>938</v>
      </c>
      <c r="E224" s="260" t="s">
        <v>536</v>
      </c>
      <c r="F224" s="414"/>
      <c r="G224" s="429">
        <v>0</v>
      </c>
      <c r="H224" s="430">
        <v>0</v>
      </c>
      <c r="I224" s="431">
        <v>0</v>
      </c>
      <c r="J224" s="432">
        <v>0</v>
      </c>
      <c r="K224" s="433">
        <v>0</v>
      </c>
      <c r="L224" s="434">
        <v>5.5555555555555573E-2</v>
      </c>
      <c r="M224" s="435">
        <v>107.72424342686421</v>
      </c>
      <c r="N224" s="420">
        <v>-107.72424342686421</v>
      </c>
      <c r="T224" s="415">
        <f t="shared" si="28"/>
        <v>0</v>
      </c>
      <c r="U224" s="416">
        <f t="shared" si="29"/>
        <v>0</v>
      </c>
      <c r="V224" s="416">
        <f t="shared" si="30"/>
        <v>0</v>
      </c>
      <c r="W224" s="417">
        <f t="shared" si="31"/>
        <v>-0.15789473684210534</v>
      </c>
      <c r="X224" s="418">
        <f t="shared" si="32"/>
        <v>-0.25</v>
      </c>
      <c r="Y224" s="419">
        <f t="shared" si="33"/>
        <v>-0.25925925925925924</v>
      </c>
      <c r="Z224" s="419">
        <f t="shared" si="34"/>
        <v>-0.16863162017070088</v>
      </c>
      <c r="AB224" s="429">
        <f t="shared" si="36"/>
        <v>0</v>
      </c>
      <c r="AC224" s="430">
        <f t="shared" si="36"/>
        <v>0</v>
      </c>
      <c r="AD224" s="430">
        <f t="shared" si="36"/>
        <v>0</v>
      </c>
      <c r="AE224" s="432">
        <f t="shared" si="36"/>
        <v>0</v>
      </c>
      <c r="AF224" s="433">
        <f t="shared" si="35"/>
        <v>0</v>
      </c>
      <c r="AG224" s="434">
        <f t="shared" si="35"/>
        <v>0</v>
      </c>
      <c r="AH224" s="434">
        <f t="shared" si="35"/>
        <v>0</v>
      </c>
    </row>
    <row r="225" spans="1:34" ht="33" customHeight="1" x14ac:dyDescent="0.35">
      <c r="A225" s="413" t="s">
        <v>414</v>
      </c>
      <c r="B225" s="260" t="s">
        <v>194</v>
      </c>
      <c r="C225" s="259" t="s">
        <v>537</v>
      </c>
      <c r="D225" s="260" t="s">
        <v>938</v>
      </c>
      <c r="E225" s="260" t="s">
        <v>538</v>
      </c>
      <c r="F225" s="414"/>
      <c r="G225" s="429">
        <v>0</v>
      </c>
      <c r="H225" s="430">
        <v>0</v>
      </c>
      <c r="I225" s="431">
        <v>0</v>
      </c>
      <c r="J225" s="432">
        <v>0.05</v>
      </c>
      <c r="K225" s="433">
        <v>5.5555555555555573E-2</v>
      </c>
      <c r="L225" s="434">
        <v>5.5555555555555573E-2</v>
      </c>
      <c r="M225" s="435">
        <v>95.244494452053672</v>
      </c>
      <c r="N225" s="420">
        <v>-95.244494452053672</v>
      </c>
      <c r="T225" s="415">
        <f t="shared" si="28"/>
        <v>0</v>
      </c>
      <c r="U225" s="416">
        <f t="shared" si="29"/>
        <v>0</v>
      </c>
      <c r="V225" s="416">
        <f t="shared" si="30"/>
        <v>0</v>
      </c>
      <c r="W225" s="417">
        <f t="shared" si="31"/>
        <v>-0.10000000000000006</v>
      </c>
      <c r="X225" s="418">
        <f t="shared" si="32"/>
        <v>-0.18055555555555552</v>
      </c>
      <c r="Y225" s="419">
        <f t="shared" si="33"/>
        <v>-0.25925925925925924</v>
      </c>
      <c r="Z225" s="419">
        <f t="shared" si="34"/>
        <v>-5.2687755285647876E-2</v>
      </c>
      <c r="AB225" s="429">
        <f t="shared" si="36"/>
        <v>0</v>
      </c>
      <c r="AC225" s="430">
        <f t="shared" si="36"/>
        <v>0</v>
      </c>
      <c r="AD225" s="430">
        <f t="shared" si="36"/>
        <v>0</v>
      </c>
      <c r="AE225" s="432">
        <f t="shared" si="36"/>
        <v>0</v>
      </c>
      <c r="AF225" s="433">
        <f t="shared" si="35"/>
        <v>0</v>
      </c>
      <c r="AG225" s="434">
        <f t="shared" si="35"/>
        <v>0</v>
      </c>
      <c r="AH225" s="434">
        <f t="shared" si="35"/>
        <v>0</v>
      </c>
    </row>
    <row r="226" spans="1:34" ht="33" customHeight="1" x14ac:dyDescent="0.35">
      <c r="A226" s="426" t="s">
        <v>414</v>
      </c>
      <c r="B226" s="427" t="s">
        <v>197</v>
      </c>
      <c r="C226" s="428" t="s">
        <v>539</v>
      </c>
      <c r="D226" s="260" t="s">
        <v>916</v>
      </c>
      <c r="E226" s="260" t="s">
        <v>540</v>
      </c>
      <c r="F226" s="414"/>
      <c r="G226" s="429">
        <v>4</v>
      </c>
      <c r="H226" s="430">
        <v>4</v>
      </c>
      <c r="I226" s="431">
        <v>4</v>
      </c>
      <c r="J226" s="432">
        <v>1</v>
      </c>
      <c r="K226" s="433">
        <v>1</v>
      </c>
      <c r="L226" s="434">
        <v>1</v>
      </c>
      <c r="M226" s="435">
        <v>8.4996196341658266</v>
      </c>
      <c r="N226" s="420">
        <v>-8.4996196341658266</v>
      </c>
      <c r="T226" s="415">
        <f t="shared" si="28"/>
        <v>1</v>
      </c>
      <c r="U226" s="416">
        <f t="shared" si="29"/>
        <v>1</v>
      </c>
      <c r="V226" s="416">
        <f t="shared" si="30"/>
        <v>1</v>
      </c>
      <c r="W226" s="417">
        <f t="shared" si="31"/>
        <v>1</v>
      </c>
      <c r="X226" s="418">
        <f t="shared" si="32"/>
        <v>1</v>
      </c>
      <c r="Y226" s="419">
        <f t="shared" si="33"/>
        <v>1</v>
      </c>
      <c r="Z226" s="419">
        <f t="shared" si="34"/>
        <v>0.75322076624442702</v>
      </c>
      <c r="AB226" s="429">
        <f t="shared" si="36"/>
        <v>1</v>
      </c>
      <c r="AC226" s="430">
        <f t="shared" si="36"/>
        <v>1</v>
      </c>
      <c r="AD226" s="430">
        <f t="shared" si="36"/>
        <v>1</v>
      </c>
      <c r="AE226" s="432">
        <f t="shared" si="36"/>
        <v>1</v>
      </c>
      <c r="AF226" s="433">
        <f t="shared" si="35"/>
        <v>1</v>
      </c>
      <c r="AG226" s="434">
        <f t="shared" si="35"/>
        <v>1</v>
      </c>
      <c r="AH226" s="434">
        <f t="shared" si="35"/>
        <v>0.75322076624442702</v>
      </c>
    </row>
    <row r="227" spans="1:34" ht="33" customHeight="1" x14ac:dyDescent="0.35">
      <c r="A227" s="413" t="s">
        <v>414</v>
      </c>
      <c r="B227" s="260" t="s">
        <v>200</v>
      </c>
      <c r="C227" s="259" t="s">
        <v>541</v>
      </c>
      <c r="D227" s="260" t="s">
        <v>920</v>
      </c>
      <c r="E227" s="260" t="s">
        <v>542</v>
      </c>
      <c r="F227" s="414"/>
      <c r="G227" s="429">
        <v>4</v>
      </c>
      <c r="H227" s="430">
        <v>4</v>
      </c>
      <c r="I227" s="431">
        <v>4</v>
      </c>
      <c r="J227" s="432">
        <v>0.55000000000000004</v>
      </c>
      <c r="K227" s="433">
        <v>0.66666666666666674</v>
      </c>
      <c r="L227" s="434">
        <v>1</v>
      </c>
      <c r="M227" s="463">
        <v>54.260499087035896</v>
      </c>
      <c r="N227" s="420">
        <v>-54.260499087035896</v>
      </c>
      <c r="T227" s="415">
        <f t="shared" si="28"/>
        <v>1</v>
      </c>
      <c r="U227" s="416">
        <f t="shared" si="29"/>
        <v>1</v>
      </c>
      <c r="V227" s="416">
        <f t="shared" si="30"/>
        <v>1</v>
      </c>
      <c r="W227" s="417">
        <f t="shared" si="31"/>
        <v>0.47894736842105268</v>
      </c>
      <c r="X227" s="418">
        <f t="shared" si="32"/>
        <v>0.58333333333333337</v>
      </c>
      <c r="Y227" s="419">
        <f t="shared" si="33"/>
        <v>1</v>
      </c>
      <c r="Z227" s="419">
        <f t="shared" si="34"/>
        <v>0.32807653978491075</v>
      </c>
      <c r="AB227" s="429">
        <f t="shared" si="36"/>
        <v>1</v>
      </c>
      <c r="AC227" s="430">
        <f t="shared" si="36"/>
        <v>1</v>
      </c>
      <c r="AD227" s="430">
        <f t="shared" si="36"/>
        <v>1</v>
      </c>
      <c r="AE227" s="432">
        <f t="shared" si="36"/>
        <v>0.47894736842105268</v>
      </c>
      <c r="AF227" s="433">
        <f t="shared" si="35"/>
        <v>0.58333333333333337</v>
      </c>
      <c r="AG227" s="434">
        <f t="shared" si="35"/>
        <v>1</v>
      </c>
      <c r="AH227" s="434">
        <f t="shared" si="35"/>
        <v>0.32807653978491075</v>
      </c>
    </row>
    <row r="228" spans="1:34" ht="33" customHeight="1" x14ac:dyDescent="0.35">
      <c r="A228" s="426" t="s">
        <v>414</v>
      </c>
      <c r="B228" s="427" t="s">
        <v>203</v>
      </c>
      <c r="C228" s="428" t="s">
        <v>543</v>
      </c>
      <c r="D228" s="260" t="s">
        <v>916</v>
      </c>
      <c r="E228" s="260" t="s">
        <v>544</v>
      </c>
      <c r="F228" s="414"/>
      <c r="G228" s="429">
        <v>4</v>
      </c>
      <c r="H228" s="430">
        <v>4</v>
      </c>
      <c r="I228" s="431">
        <v>4</v>
      </c>
      <c r="J228" s="432">
        <v>1</v>
      </c>
      <c r="K228" s="433">
        <v>1</v>
      </c>
      <c r="L228" s="434">
        <v>1</v>
      </c>
      <c r="M228" s="435">
        <v>13.493780470995519</v>
      </c>
      <c r="N228" s="420">
        <v>-13.493780470995519</v>
      </c>
      <c r="T228" s="415">
        <f t="shared" si="28"/>
        <v>1</v>
      </c>
      <c r="U228" s="416">
        <f t="shared" si="29"/>
        <v>1</v>
      </c>
      <c r="V228" s="416">
        <f t="shared" si="30"/>
        <v>1</v>
      </c>
      <c r="W228" s="417">
        <f t="shared" si="31"/>
        <v>1</v>
      </c>
      <c r="X228" s="418">
        <f t="shared" si="32"/>
        <v>1</v>
      </c>
      <c r="Y228" s="419">
        <f t="shared" si="33"/>
        <v>1</v>
      </c>
      <c r="Z228" s="419">
        <f t="shared" si="34"/>
        <v>0.70682221203886086</v>
      </c>
      <c r="AB228" s="429">
        <f t="shared" si="36"/>
        <v>1</v>
      </c>
      <c r="AC228" s="430">
        <f t="shared" si="36"/>
        <v>1</v>
      </c>
      <c r="AD228" s="430">
        <f t="shared" si="36"/>
        <v>1</v>
      </c>
      <c r="AE228" s="432">
        <f t="shared" si="36"/>
        <v>1</v>
      </c>
      <c r="AF228" s="433">
        <f t="shared" si="35"/>
        <v>1</v>
      </c>
      <c r="AG228" s="434">
        <f t="shared" si="35"/>
        <v>1</v>
      </c>
      <c r="AH228" s="434">
        <f t="shared" si="35"/>
        <v>0.70682221203886086</v>
      </c>
    </row>
    <row r="229" spans="1:34" ht="33" customHeight="1" x14ac:dyDescent="0.35">
      <c r="A229" s="413" t="s">
        <v>414</v>
      </c>
      <c r="B229" s="260" t="s">
        <v>206</v>
      </c>
      <c r="C229" s="259" t="s">
        <v>545</v>
      </c>
      <c r="D229" s="260" t="s">
        <v>916</v>
      </c>
      <c r="E229" s="260" t="s">
        <v>546</v>
      </c>
      <c r="F229" s="414"/>
      <c r="G229" s="429">
        <v>1</v>
      </c>
      <c r="H229" s="430">
        <v>1</v>
      </c>
      <c r="I229" s="431">
        <v>0</v>
      </c>
      <c r="J229" s="432">
        <v>0.1</v>
      </c>
      <c r="K229" s="433">
        <v>0.11111111111111115</v>
      </c>
      <c r="L229" s="434">
        <v>5.5555555555555573E-2</v>
      </c>
      <c r="M229" s="435">
        <v>99.458926850862639</v>
      </c>
      <c r="N229" s="420">
        <v>-99.458926850862639</v>
      </c>
      <c r="T229" s="415">
        <f t="shared" si="28"/>
        <v>0.25</v>
      </c>
      <c r="U229" s="416">
        <f t="shared" si="29"/>
        <v>0.25</v>
      </c>
      <c r="V229" s="416">
        <f t="shared" si="30"/>
        <v>0</v>
      </c>
      <c r="W229" s="417">
        <f t="shared" si="31"/>
        <v>-4.2105263157894784E-2</v>
      </c>
      <c r="X229" s="418">
        <f t="shared" si="32"/>
        <v>-0.11111111111111108</v>
      </c>
      <c r="Y229" s="419">
        <f t="shared" si="33"/>
        <v>-0.25925925925925924</v>
      </c>
      <c r="Z229" s="419">
        <f t="shared" si="34"/>
        <v>-9.1842195138643001E-2</v>
      </c>
      <c r="AB229" s="429">
        <f t="shared" si="36"/>
        <v>0.25</v>
      </c>
      <c r="AC229" s="430">
        <f t="shared" si="36"/>
        <v>0.25</v>
      </c>
      <c r="AD229" s="430">
        <f t="shared" si="36"/>
        <v>0</v>
      </c>
      <c r="AE229" s="432">
        <f t="shared" si="36"/>
        <v>0</v>
      </c>
      <c r="AF229" s="433">
        <f t="shared" si="35"/>
        <v>0</v>
      </c>
      <c r="AG229" s="434">
        <f t="shared" si="35"/>
        <v>0</v>
      </c>
      <c r="AH229" s="434">
        <f t="shared" si="35"/>
        <v>0</v>
      </c>
    </row>
    <row r="230" spans="1:34" ht="33" customHeight="1" x14ac:dyDescent="0.35">
      <c r="A230" s="413" t="s">
        <v>414</v>
      </c>
      <c r="B230" s="260" t="s">
        <v>209</v>
      </c>
      <c r="C230" s="259" t="s">
        <v>547</v>
      </c>
      <c r="D230" s="260" t="s">
        <v>918</v>
      </c>
      <c r="E230" s="260" t="s">
        <v>548</v>
      </c>
      <c r="F230" s="414"/>
      <c r="G230" s="429">
        <v>0</v>
      </c>
      <c r="H230" s="430">
        <v>1</v>
      </c>
      <c r="I230" s="431">
        <v>0</v>
      </c>
      <c r="J230" s="432">
        <v>0.05</v>
      </c>
      <c r="K230" s="433">
        <v>0.22222222222222215</v>
      </c>
      <c r="L230" s="434">
        <v>0.38888888888888884</v>
      </c>
      <c r="M230" s="435">
        <v>84.40111420612817</v>
      </c>
      <c r="N230" s="420">
        <v>-84.40111420612817</v>
      </c>
      <c r="T230" s="415">
        <f t="shared" si="28"/>
        <v>0</v>
      </c>
      <c r="U230" s="416">
        <f t="shared" si="29"/>
        <v>0.25</v>
      </c>
      <c r="V230" s="416">
        <f t="shared" si="30"/>
        <v>0</v>
      </c>
      <c r="W230" s="417">
        <f t="shared" si="31"/>
        <v>-0.10000000000000006</v>
      </c>
      <c r="X230" s="418">
        <f t="shared" si="32"/>
        <v>2.7777777777777679E-2</v>
      </c>
      <c r="Y230" s="419">
        <f t="shared" si="33"/>
        <v>0.18518518518518512</v>
      </c>
      <c r="Z230" s="419">
        <f t="shared" si="34"/>
        <v>4.8053326659866669E-2</v>
      </c>
      <c r="AB230" s="429">
        <f t="shared" si="36"/>
        <v>0</v>
      </c>
      <c r="AC230" s="430">
        <f t="shared" si="36"/>
        <v>0.25</v>
      </c>
      <c r="AD230" s="430">
        <f t="shared" si="36"/>
        <v>0</v>
      </c>
      <c r="AE230" s="432">
        <f t="shared" si="36"/>
        <v>0</v>
      </c>
      <c r="AF230" s="433">
        <f t="shared" si="35"/>
        <v>2.7777777777777679E-2</v>
      </c>
      <c r="AG230" s="434">
        <f t="shared" si="35"/>
        <v>0.18518518518518512</v>
      </c>
      <c r="AH230" s="434">
        <f t="shared" si="35"/>
        <v>4.8053326659866669E-2</v>
      </c>
    </row>
    <row r="231" spans="1:34" ht="33" customHeight="1" x14ac:dyDescent="0.35">
      <c r="A231" s="413" t="s">
        <v>414</v>
      </c>
      <c r="B231" s="260" t="s">
        <v>212</v>
      </c>
      <c r="C231" s="259" t="s">
        <v>549</v>
      </c>
      <c r="D231" s="260" t="s">
        <v>916</v>
      </c>
      <c r="E231" s="260" t="s">
        <v>550</v>
      </c>
      <c r="F231" s="414"/>
      <c r="G231" s="429">
        <v>0</v>
      </c>
      <c r="H231" s="430">
        <v>0</v>
      </c>
      <c r="I231" s="431">
        <v>0</v>
      </c>
      <c r="J231" s="432">
        <v>0.1</v>
      </c>
      <c r="K231" s="433">
        <v>5.5555555555555573E-2</v>
      </c>
      <c r="L231" s="434">
        <v>5.5555555555555573E-2</v>
      </c>
      <c r="M231" s="435">
        <v>90.58919542941166</v>
      </c>
      <c r="N231" s="420">
        <v>-90.58919542941166</v>
      </c>
      <c r="T231" s="415">
        <f t="shared" si="28"/>
        <v>0</v>
      </c>
      <c r="U231" s="416">
        <f t="shared" si="29"/>
        <v>0</v>
      </c>
      <c r="V231" s="416">
        <f t="shared" si="30"/>
        <v>0</v>
      </c>
      <c r="W231" s="417">
        <f t="shared" si="31"/>
        <v>-4.2105263157894784E-2</v>
      </c>
      <c r="X231" s="418">
        <f t="shared" si="32"/>
        <v>-0.18055555555555552</v>
      </c>
      <c r="Y231" s="419">
        <f t="shared" si="33"/>
        <v>-0.25925925925925924</v>
      </c>
      <c r="Z231" s="419">
        <f t="shared" si="34"/>
        <v>-9.4374173205030911E-3</v>
      </c>
      <c r="AB231" s="429">
        <f t="shared" si="36"/>
        <v>0</v>
      </c>
      <c r="AC231" s="430">
        <f t="shared" si="36"/>
        <v>0</v>
      </c>
      <c r="AD231" s="430">
        <f t="shared" si="36"/>
        <v>0</v>
      </c>
      <c r="AE231" s="432">
        <f t="shared" si="36"/>
        <v>0</v>
      </c>
      <c r="AF231" s="433">
        <f t="shared" si="35"/>
        <v>0</v>
      </c>
      <c r="AG231" s="434">
        <f t="shared" si="35"/>
        <v>0</v>
      </c>
      <c r="AH231" s="434">
        <f t="shared" si="35"/>
        <v>0</v>
      </c>
    </row>
    <row r="232" spans="1:34" ht="33" customHeight="1" x14ac:dyDescent="0.35">
      <c r="A232" s="413" t="s">
        <v>414</v>
      </c>
      <c r="B232" s="260" t="s">
        <v>215</v>
      </c>
      <c r="C232" s="259" t="s">
        <v>551</v>
      </c>
      <c r="D232" s="260" t="s">
        <v>918</v>
      </c>
      <c r="E232" s="260" t="s">
        <v>552</v>
      </c>
      <c r="F232" s="414"/>
      <c r="G232" s="429">
        <v>0</v>
      </c>
      <c r="H232" s="430">
        <v>0</v>
      </c>
      <c r="I232" s="431">
        <v>0</v>
      </c>
      <c r="J232" s="432">
        <v>0</v>
      </c>
      <c r="K232" s="433">
        <v>0</v>
      </c>
      <c r="L232" s="434">
        <v>5.5555555555555573E-2</v>
      </c>
      <c r="M232" s="435">
        <v>94.392298981224087</v>
      </c>
      <c r="N232" s="420">
        <v>-94.392298981224087</v>
      </c>
      <c r="T232" s="415">
        <f t="shared" si="28"/>
        <v>0</v>
      </c>
      <c r="U232" s="416">
        <f t="shared" si="29"/>
        <v>0</v>
      </c>
      <c r="V232" s="416">
        <f t="shared" si="30"/>
        <v>0</v>
      </c>
      <c r="W232" s="417">
        <f t="shared" si="31"/>
        <v>-0.15789473684210534</v>
      </c>
      <c r="X232" s="418">
        <f t="shared" si="32"/>
        <v>-0.25</v>
      </c>
      <c r="Y232" s="419">
        <f t="shared" si="33"/>
        <v>-0.25925925925925924</v>
      </c>
      <c r="Z232" s="419">
        <f t="shared" si="34"/>
        <v>-4.4770381568840431E-2</v>
      </c>
      <c r="AB232" s="429">
        <f t="shared" si="36"/>
        <v>0</v>
      </c>
      <c r="AC232" s="430">
        <f t="shared" si="36"/>
        <v>0</v>
      </c>
      <c r="AD232" s="430">
        <f t="shared" si="36"/>
        <v>0</v>
      </c>
      <c r="AE232" s="432">
        <f t="shared" si="36"/>
        <v>0</v>
      </c>
      <c r="AF232" s="433">
        <f t="shared" si="35"/>
        <v>0</v>
      </c>
      <c r="AG232" s="434">
        <f t="shared" si="35"/>
        <v>0</v>
      </c>
      <c r="AH232" s="434">
        <f t="shared" si="35"/>
        <v>0</v>
      </c>
    </row>
    <row r="233" spans="1:34" ht="33" customHeight="1" x14ac:dyDescent="0.35">
      <c r="A233" s="413" t="s">
        <v>414</v>
      </c>
      <c r="B233" s="260" t="s">
        <v>218</v>
      </c>
      <c r="C233" s="259" t="s">
        <v>553</v>
      </c>
      <c r="D233" s="260" t="s">
        <v>920</v>
      </c>
      <c r="E233" s="260" t="s">
        <v>554</v>
      </c>
      <c r="F233" s="414"/>
      <c r="G233" s="429">
        <v>0</v>
      </c>
      <c r="H233" s="430">
        <v>0</v>
      </c>
      <c r="I233" s="431">
        <v>0</v>
      </c>
      <c r="J233" s="432">
        <v>0</v>
      </c>
      <c r="K233" s="433">
        <v>5.5555555555555573E-2</v>
      </c>
      <c r="L233" s="434">
        <v>0.11111111111111115</v>
      </c>
      <c r="M233" s="435">
        <v>94.55607677105418</v>
      </c>
      <c r="N233" s="420">
        <v>-94.55607677105418</v>
      </c>
      <c r="T233" s="415">
        <f t="shared" si="28"/>
        <v>0</v>
      </c>
      <c r="U233" s="416">
        <f t="shared" si="29"/>
        <v>0</v>
      </c>
      <c r="V233" s="416">
        <f t="shared" si="30"/>
        <v>0</v>
      </c>
      <c r="W233" s="417">
        <f t="shared" si="31"/>
        <v>-0.15789473684210534</v>
      </c>
      <c r="X233" s="418">
        <f t="shared" si="32"/>
        <v>-0.18055555555555552</v>
      </c>
      <c r="Y233" s="419">
        <f t="shared" si="33"/>
        <v>-0.18518518518518512</v>
      </c>
      <c r="Z233" s="419">
        <f t="shared" si="34"/>
        <v>-4.629196906018828E-2</v>
      </c>
      <c r="AB233" s="429">
        <f t="shared" si="36"/>
        <v>0</v>
      </c>
      <c r="AC233" s="430">
        <f t="shared" si="36"/>
        <v>0</v>
      </c>
      <c r="AD233" s="430">
        <f t="shared" si="36"/>
        <v>0</v>
      </c>
      <c r="AE233" s="432">
        <f t="shared" si="36"/>
        <v>0</v>
      </c>
      <c r="AF233" s="433">
        <f t="shared" si="35"/>
        <v>0</v>
      </c>
      <c r="AG233" s="434">
        <f t="shared" si="35"/>
        <v>0</v>
      </c>
      <c r="AH233" s="434">
        <f t="shared" si="35"/>
        <v>0</v>
      </c>
    </row>
    <row r="234" spans="1:34" ht="33" customHeight="1" x14ac:dyDescent="0.35">
      <c r="A234" s="413" t="s">
        <v>414</v>
      </c>
      <c r="B234" s="260" t="s">
        <v>221</v>
      </c>
      <c r="C234" s="259" t="s">
        <v>555</v>
      </c>
      <c r="D234" s="260" t="s">
        <v>925</v>
      </c>
      <c r="E234" s="260" t="s">
        <v>556</v>
      </c>
      <c r="F234" s="414"/>
      <c r="G234" s="429">
        <v>0</v>
      </c>
      <c r="H234" s="430">
        <v>0</v>
      </c>
      <c r="I234" s="431">
        <v>0</v>
      </c>
      <c r="J234" s="432">
        <v>0</v>
      </c>
      <c r="K234" s="433">
        <v>0</v>
      </c>
      <c r="L234" s="434">
        <v>0.11111111111111115</v>
      </c>
      <c r="M234" s="435">
        <v>117.35694480673175</v>
      </c>
      <c r="N234" s="420">
        <v>-117.35694480673175</v>
      </c>
      <c r="T234" s="415">
        <f t="shared" si="28"/>
        <v>0</v>
      </c>
      <c r="U234" s="416">
        <f t="shared" si="29"/>
        <v>0</v>
      </c>
      <c r="V234" s="416">
        <f t="shared" si="30"/>
        <v>0</v>
      </c>
      <c r="W234" s="417">
        <f t="shared" si="31"/>
        <v>-0.15789473684210534</v>
      </c>
      <c r="X234" s="418">
        <f t="shared" si="32"/>
        <v>-0.25</v>
      </c>
      <c r="Y234" s="419">
        <f t="shared" si="33"/>
        <v>-0.18518518518518512</v>
      </c>
      <c r="Z234" s="419">
        <f t="shared" si="34"/>
        <v>-0.25812481667006248</v>
      </c>
      <c r="AB234" s="429">
        <f t="shared" si="36"/>
        <v>0</v>
      </c>
      <c r="AC234" s="430">
        <f t="shared" si="36"/>
        <v>0</v>
      </c>
      <c r="AD234" s="430">
        <f t="shared" si="36"/>
        <v>0</v>
      </c>
      <c r="AE234" s="432">
        <f t="shared" si="36"/>
        <v>0</v>
      </c>
      <c r="AF234" s="433">
        <f t="shared" si="35"/>
        <v>0</v>
      </c>
      <c r="AG234" s="434">
        <f t="shared" si="35"/>
        <v>0</v>
      </c>
      <c r="AH234" s="434">
        <f t="shared" si="35"/>
        <v>0</v>
      </c>
    </row>
    <row r="235" spans="1:34" ht="33" customHeight="1" x14ac:dyDescent="0.35">
      <c r="A235" s="413" t="s">
        <v>414</v>
      </c>
      <c r="B235" s="260" t="s">
        <v>224</v>
      </c>
      <c r="C235" s="259" t="s">
        <v>557</v>
      </c>
      <c r="D235" s="462" t="s">
        <v>915</v>
      </c>
      <c r="E235" s="260" t="s">
        <v>558</v>
      </c>
      <c r="F235" s="414"/>
      <c r="G235" s="429">
        <v>0</v>
      </c>
      <c r="H235" s="430">
        <v>2</v>
      </c>
      <c r="I235" s="431">
        <v>0</v>
      </c>
      <c r="J235" s="432">
        <v>0.1</v>
      </c>
      <c r="K235" s="433">
        <v>0.16666666666666657</v>
      </c>
      <c r="L235" s="434">
        <v>0.27777777777777785</v>
      </c>
      <c r="M235" s="435">
        <v>14.651810584958248</v>
      </c>
      <c r="N235" s="420">
        <v>-14.651810584958248</v>
      </c>
      <c r="T235" s="415">
        <f t="shared" si="28"/>
        <v>0</v>
      </c>
      <c r="U235" s="416">
        <f t="shared" si="29"/>
        <v>0.5</v>
      </c>
      <c r="V235" s="416">
        <f t="shared" si="30"/>
        <v>0</v>
      </c>
      <c r="W235" s="417">
        <f t="shared" si="31"/>
        <v>-4.2105263157894784E-2</v>
      </c>
      <c r="X235" s="418">
        <f t="shared" si="32"/>
        <v>-4.1666666666666796E-2</v>
      </c>
      <c r="Y235" s="419">
        <f t="shared" si="33"/>
        <v>3.7037037037037125E-2</v>
      </c>
      <c r="Z235" s="419">
        <f t="shared" si="34"/>
        <v>0.69606346301777688</v>
      </c>
      <c r="AB235" s="429">
        <f t="shared" si="36"/>
        <v>0</v>
      </c>
      <c r="AC235" s="430">
        <f t="shared" si="36"/>
        <v>0.5</v>
      </c>
      <c r="AD235" s="430">
        <f t="shared" si="36"/>
        <v>0</v>
      </c>
      <c r="AE235" s="432">
        <f t="shared" si="36"/>
        <v>0</v>
      </c>
      <c r="AF235" s="433">
        <f t="shared" si="35"/>
        <v>0</v>
      </c>
      <c r="AG235" s="434">
        <f t="shared" si="35"/>
        <v>3.7037037037037125E-2</v>
      </c>
      <c r="AH235" s="434">
        <f t="shared" si="35"/>
        <v>0.69606346301777688</v>
      </c>
    </row>
    <row r="236" spans="1:34" ht="33" customHeight="1" x14ac:dyDescent="0.35">
      <c r="A236" s="413" t="s">
        <v>414</v>
      </c>
      <c r="B236" s="260" t="s">
        <v>227</v>
      </c>
      <c r="C236" s="259" t="s">
        <v>559</v>
      </c>
      <c r="D236" s="260" t="s">
        <v>916</v>
      </c>
      <c r="E236" s="260" t="s">
        <v>560</v>
      </c>
      <c r="F236" s="414"/>
      <c r="G236" s="429">
        <v>0</v>
      </c>
      <c r="H236" s="430">
        <v>0</v>
      </c>
      <c r="I236" s="431">
        <v>1</v>
      </c>
      <c r="J236" s="432">
        <v>0.05</v>
      </c>
      <c r="K236" s="433">
        <v>0.11111111111111115</v>
      </c>
      <c r="L236" s="434">
        <v>0.33333333333333343</v>
      </c>
      <c r="M236" s="435">
        <v>96.448732778677424</v>
      </c>
      <c r="N236" s="420">
        <v>-96.448732778677424</v>
      </c>
      <c r="T236" s="415">
        <f t="shared" si="28"/>
        <v>0</v>
      </c>
      <c r="U236" s="416">
        <f t="shared" si="29"/>
        <v>0</v>
      </c>
      <c r="V236" s="416">
        <f t="shared" si="30"/>
        <v>0.25</v>
      </c>
      <c r="W236" s="417">
        <f t="shared" si="31"/>
        <v>-0.10000000000000006</v>
      </c>
      <c r="X236" s="418">
        <f t="shared" si="32"/>
        <v>-0.11111111111111108</v>
      </c>
      <c r="Y236" s="419">
        <f t="shared" si="33"/>
        <v>0.11111111111111123</v>
      </c>
      <c r="Z236" s="419">
        <f t="shared" si="34"/>
        <v>-6.3875804509497466E-2</v>
      </c>
      <c r="AB236" s="429">
        <f t="shared" si="36"/>
        <v>0</v>
      </c>
      <c r="AC236" s="430">
        <f t="shared" si="36"/>
        <v>0</v>
      </c>
      <c r="AD236" s="430">
        <f t="shared" si="36"/>
        <v>0.25</v>
      </c>
      <c r="AE236" s="432">
        <f t="shared" si="36"/>
        <v>0</v>
      </c>
      <c r="AF236" s="433">
        <f t="shared" si="35"/>
        <v>0</v>
      </c>
      <c r="AG236" s="434">
        <f t="shared" si="35"/>
        <v>0.11111111111111123</v>
      </c>
      <c r="AH236" s="434">
        <f t="shared" si="35"/>
        <v>0</v>
      </c>
    </row>
    <row r="237" spans="1:34" ht="33" customHeight="1" x14ac:dyDescent="0.35">
      <c r="A237" s="413" t="s">
        <v>414</v>
      </c>
      <c r="B237" s="260" t="s">
        <v>230</v>
      </c>
      <c r="C237" s="259" t="s">
        <v>561</v>
      </c>
      <c r="D237" s="260" t="s">
        <v>916</v>
      </c>
      <c r="E237" s="260" t="s">
        <v>562</v>
      </c>
      <c r="F237" s="414"/>
      <c r="G237" s="429">
        <v>0</v>
      </c>
      <c r="H237" s="430">
        <v>0</v>
      </c>
      <c r="I237" s="431">
        <v>0</v>
      </c>
      <c r="J237" s="432">
        <v>0.05</v>
      </c>
      <c r="K237" s="433">
        <v>5.5555555555555573E-2</v>
      </c>
      <c r="L237" s="434">
        <v>0.11111111111111115</v>
      </c>
      <c r="M237" s="435">
        <v>77.201312862353092</v>
      </c>
      <c r="N237" s="420">
        <v>-77.201312862353092</v>
      </c>
      <c r="T237" s="415">
        <f t="shared" si="28"/>
        <v>0</v>
      </c>
      <c r="U237" s="416">
        <f t="shared" si="29"/>
        <v>0</v>
      </c>
      <c r="V237" s="416">
        <f t="shared" si="30"/>
        <v>0</v>
      </c>
      <c r="W237" s="417">
        <f t="shared" si="31"/>
        <v>-0.10000000000000006</v>
      </c>
      <c r="X237" s="418">
        <f t="shared" si="32"/>
        <v>-0.18055555555555552</v>
      </c>
      <c r="Y237" s="419">
        <f t="shared" si="33"/>
        <v>-0.18518518518518512</v>
      </c>
      <c r="Z237" s="419">
        <f t="shared" si="34"/>
        <v>0.11494351779166018</v>
      </c>
      <c r="AB237" s="429">
        <f t="shared" si="36"/>
        <v>0</v>
      </c>
      <c r="AC237" s="430">
        <f t="shared" si="36"/>
        <v>0</v>
      </c>
      <c r="AD237" s="430">
        <f t="shared" si="36"/>
        <v>0</v>
      </c>
      <c r="AE237" s="432">
        <f t="shared" si="36"/>
        <v>0</v>
      </c>
      <c r="AF237" s="433">
        <f t="shared" si="35"/>
        <v>0</v>
      </c>
      <c r="AG237" s="434">
        <f t="shared" si="35"/>
        <v>0</v>
      </c>
      <c r="AH237" s="434">
        <f t="shared" si="35"/>
        <v>0.11494351779166018</v>
      </c>
    </row>
    <row r="238" spans="1:34" ht="33" customHeight="1" x14ac:dyDescent="0.35">
      <c r="A238" s="413" t="s">
        <v>414</v>
      </c>
      <c r="B238" s="260" t="s">
        <v>233</v>
      </c>
      <c r="C238" s="259" t="s">
        <v>563</v>
      </c>
      <c r="D238" s="462" t="s">
        <v>915</v>
      </c>
      <c r="E238" s="260" t="s">
        <v>564</v>
      </c>
      <c r="F238" s="414"/>
      <c r="G238" s="429">
        <v>0</v>
      </c>
      <c r="H238" s="430">
        <v>0</v>
      </c>
      <c r="I238" s="431">
        <v>0</v>
      </c>
      <c r="J238" s="432">
        <v>0.1</v>
      </c>
      <c r="K238" s="433">
        <v>5.5555555555555573E-2</v>
      </c>
      <c r="L238" s="434">
        <v>0</v>
      </c>
      <c r="M238" s="463">
        <v>82.31892878880096</v>
      </c>
      <c r="N238" s="420">
        <v>-82.31892878880096</v>
      </c>
      <c r="T238" s="415">
        <f t="shared" si="28"/>
        <v>0</v>
      </c>
      <c r="U238" s="416">
        <f t="shared" si="29"/>
        <v>0</v>
      </c>
      <c r="V238" s="416">
        <f t="shared" si="30"/>
        <v>0</v>
      </c>
      <c r="W238" s="417">
        <f t="shared" si="31"/>
        <v>-4.2105263157894784E-2</v>
      </c>
      <c r="X238" s="418">
        <f t="shared" si="32"/>
        <v>-0.18055555555555552</v>
      </c>
      <c r="Y238" s="419">
        <f t="shared" si="33"/>
        <v>-0.33333333333333331</v>
      </c>
      <c r="Z238" s="419">
        <f t="shared" si="34"/>
        <v>6.739799658708201E-2</v>
      </c>
      <c r="AB238" s="429">
        <f t="shared" si="36"/>
        <v>0</v>
      </c>
      <c r="AC238" s="430">
        <f t="shared" si="36"/>
        <v>0</v>
      </c>
      <c r="AD238" s="430">
        <f t="shared" si="36"/>
        <v>0</v>
      </c>
      <c r="AE238" s="432">
        <f t="shared" si="36"/>
        <v>0</v>
      </c>
      <c r="AF238" s="433">
        <f t="shared" si="35"/>
        <v>0</v>
      </c>
      <c r="AG238" s="434">
        <f t="shared" si="35"/>
        <v>0</v>
      </c>
      <c r="AH238" s="434">
        <f t="shared" si="35"/>
        <v>6.739799658708201E-2</v>
      </c>
    </row>
    <row r="239" spans="1:34" ht="33" customHeight="1" x14ac:dyDescent="0.35">
      <c r="A239" s="413" t="s">
        <v>414</v>
      </c>
      <c r="B239" s="260" t="s">
        <v>236</v>
      </c>
      <c r="C239" s="259" t="s">
        <v>565</v>
      </c>
      <c r="D239" s="260" t="s">
        <v>916</v>
      </c>
      <c r="E239" s="260" t="s">
        <v>566</v>
      </c>
      <c r="F239" s="414"/>
      <c r="G239" s="429">
        <v>0</v>
      </c>
      <c r="H239" s="430">
        <v>0</v>
      </c>
      <c r="I239" s="431">
        <v>0</v>
      </c>
      <c r="J239" s="432">
        <v>0</v>
      </c>
      <c r="K239" s="433">
        <v>0</v>
      </c>
      <c r="L239" s="434">
        <v>0.11111111111111115</v>
      </c>
      <c r="M239" s="435">
        <v>75.211281670728567</v>
      </c>
      <c r="N239" s="420">
        <v>-75.211281670728567</v>
      </c>
      <c r="T239" s="415">
        <f t="shared" si="28"/>
        <v>0</v>
      </c>
      <c r="U239" s="416">
        <f t="shared" si="29"/>
        <v>0</v>
      </c>
      <c r="V239" s="416">
        <f t="shared" si="30"/>
        <v>0</v>
      </c>
      <c r="W239" s="417">
        <f t="shared" si="31"/>
        <v>-0.15789473684210534</v>
      </c>
      <c r="X239" s="418">
        <f t="shared" si="32"/>
        <v>-0.25</v>
      </c>
      <c r="Y239" s="419">
        <f t="shared" si="33"/>
        <v>-0.18518518518518512</v>
      </c>
      <c r="Z239" s="419">
        <f t="shared" si="34"/>
        <v>0.13343202329481338</v>
      </c>
      <c r="AB239" s="429">
        <f t="shared" si="36"/>
        <v>0</v>
      </c>
      <c r="AC239" s="430">
        <f t="shared" si="36"/>
        <v>0</v>
      </c>
      <c r="AD239" s="430">
        <f t="shared" si="36"/>
        <v>0</v>
      </c>
      <c r="AE239" s="432">
        <f t="shared" si="36"/>
        <v>0</v>
      </c>
      <c r="AF239" s="433">
        <f t="shared" si="35"/>
        <v>0</v>
      </c>
      <c r="AG239" s="434">
        <f t="shared" si="35"/>
        <v>0</v>
      </c>
      <c r="AH239" s="434">
        <f t="shared" si="35"/>
        <v>0.13343202329481338</v>
      </c>
    </row>
    <row r="240" spans="1:34" ht="33" customHeight="1" x14ac:dyDescent="0.35">
      <c r="A240" s="413" t="s">
        <v>414</v>
      </c>
      <c r="B240" s="260" t="s">
        <v>239</v>
      </c>
      <c r="C240" s="259" t="s">
        <v>567</v>
      </c>
      <c r="D240" s="260" t="s">
        <v>918</v>
      </c>
      <c r="E240" s="260" t="s">
        <v>568</v>
      </c>
      <c r="F240" s="414"/>
      <c r="G240" s="429">
        <v>0</v>
      </c>
      <c r="H240" s="430">
        <v>0</v>
      </c>
      <c r="I240" s="431">
        <v>0</v>
      </c>
      <c r="J240" s="432">
        <v>0</v>
      </c>
      <c r="K240" s="433">
        <v>0</v>
      </c>
      <c r="L240" s="434">
        <v>0.11111111111111115</v>
      </c>
      <c r="M240" s="435">
        <v>99.22005571030644</v>
      </c>
      <c r="N240" s="420">
        <v>-99.22005571030644</v>
      </c>
      <c r="T240" s="415">
        <f t="shared" si="28"/>
        <v>0</v>
      </c>
      <c r="U240" s="416">
        <f t="shared" si="29"/>
        <v>0</v>
      </c>
      <c r="V240" s="416">
        <f t="shared" si="30"/>
        <v>0</v>
      </c>
      <c r="W240" s="417">
        <f t="shared" si="31"/>
        <v>-0.15789473684210534</v>
      </c>
      <c r="X240" s="418">
        <f t="shared" si="32"/>
        <v>-0.25</v>
      </c>
      <c r="Y240" s="419">
        <f t="shared" si="33"/>
        <v>-0.18518518518518512</v>
      </c>
      <c r="Z240" s="419">
        <f t="shared" si="34"/>
        <v>-8.9622948317133369E-2</v>
      </c>
      <c r="AB240" s="429">
        <f t="shared" si="36"/>
        <v>0</v>
      </c>
      <c r="AC240" s="430">
        <f t="shared" si="36"/>
        <v>0</v>
      </c>
      <c r="AD240" s="430">
        <f t="shared" si="36"/>
        <v>0</v>
      </c>
      <c r="AE240" s="432">
        <f t="shared" si="36"/>
        <v>0</v>
      </c>
      <c r="AF240" s="433">
        <f t="shared" si="35"/>
        <v>0</v>
      </c>
      <c r="AG240" s="434">
        <f t="shared" si="35"/>
        <v>0</v>
      </c>
      <c r="AH240" s="434">
        <f t="shared" si="35"/>
        <v>0</v>
      </c>
    </row>
    <row r="241" spans="1:34" ht="33" customHeight="1" x14ac:dyDescent="0.35">
      <c r="A241" s="413" t="s">
        <v>414</v>
      </c>
      <c r="B241" s="260" t="s">
        <v>242</v>
      </c>
      <c r="C241" s="259" t="s">
        <v>569</v>
      </c>
      <c r="D241" s="260" t="s">
        <v>918</v>
      </c>
      <c r="E241" s="260" t="s">
        <v>570</v>
      </c>
      <c r="F241" s="414"/>
      <c r="G241" s="429">
        <v>0</v>
      </c>
      <c r="H241" s="430">
        <v>0</v>
      </c>
      <c r="I241" s="431">
        <v>0</v>
      </c>
      <c r="J241" s="432">
        <v>0</v>
      </c>
      <c r="K241" s="433">
        <v>0</v>
      </c>
      <c r="L241" s="434">
        <v>0.11111111111111115</v>
      </c>
      <c r="M241" s="435">
        <v>81.924277115999558</v>
      </c>
      <c r="N241" s="420">
        <v>-81.924277115999558</v>
      </c>
      <c r="T241" s="415">
        <f t="shared" si="28"/>
        <v>0</v>
      </c>
      <c r="U241" s="416">
        <f t="shared" si="29"/>
        <v>0</v>
      </c>
      <c r="V241" s="416">
        <f t="shared" si="30"/>
        <v>0</v>
      </c>
      <c r="W241" s="417">
        <f t="shared" si="31"/>
        <v>-0.15789473684210534</v>
      </c>
      <c r="X241" s="418">
        <f t="shared" si="32"/>
        <v>-0.25</v>
      </c>
      <c r="Y241" s="419">
        <f t="shared" si="33"/>
        <v>-0.18518518518518512</v>
      </c>
      <c r="Z241" s="419">
        <f t="shared" si="34"/>
        <v>7.1064531893225091E-2</v>
      </c>
      <c r="AB241" s="429">
        <f t="shared" si="36"/>
        <v>0</v>
      </c>
      <c r="AC241" s="430">
        <f t="shared" si="36"/>
        <v>0</v>
      </c>
      <c r="AD241" s="430">
        <f t="shared" si="36"/>
        <v>0</v>
      </c>
      <c r="AE241" s="432">
        <f t="shared" si="36"/>
        <v>0</v>
      </c>
      <c r="AF241" s="433">
        <f t="shared" si="35"/>
        <v>0</v>
      </c>
      <c r="AG241" s="434">
        <f t="shared" si="35"/>
        <v>0</v>
      </c>
      <c r="AH241" s="434">
        <f t="shared" si="35"/>
        <v>7.1064531893225091E-2</v>
      </c>
    </row>
    <row r="242" spans="1:34" ht="33" customHeight="1" x14ac:dyDescent="0.35">
      <c r="A242" s="413" t="s">
        <v>414</v>
      </c>
      <c r="B242" s="260" t="s">
        <v>245</v>
      </c>
      <c r="C242" s="259" t="s">
        <v>571</v>
      </c>
      <c r="D242" s="260" t="s">
        <v>919</v>
      </c>
      <c r="E242" s="260" t="s">
        <v>572</v>
      </c>
      <c r="F242" s="414"/>
      <c r="G242" s="429">
        <v>0</v>
      </c>
      <c r="H242" s="430">
        <v>0</v>
      </c>
      <c r="I242" s="431">
        <v>0</v>
      </c>
      <c r="J242" s="432">
        <v>0</v>
      </c>
      <c r="K242" s="433">
        <v>0</v>
      </c>
      <c r="L242" s="434">
        <v>0.16666666666666657</v>
      </c>
      <c r="M242" s="435">
        <v>42.198817742829831</v>
      </c>
      <c r="N242" s="420">
        <v>-42.198817742829831</v>
      </c>
      <c r="T242" s="415">
        <f t="shared" si="28"/>
        <v>0</v>
      </c>
      <c r="U242" s="416">
        <f t="shared" si="29"/>
        <v>0</v>
      </c>
      <c r="V242" s="416">
        <f t="shared" si="30"/>
        <v>0</v>
      </c>
      <c r="W242" s="417">
        <f t="shared" si="31"/>
        <v>-0.15789473684210534</v>
      </c>
      <c r="X242" s="418">
        <f t="shared" si="32"/>
        <v>-0.25</v>
      </c>
      <c r="Y242" s="419">
        <f t="shared" si="33"/>
        <v>-0.11111111111111123</v>
      </c>
      <c r="Z242" s="419">
        <f t="shared" si="34"/>
        <v>0.44013632198741487</v>
      </c>
      <c r="AB242" s="429">
        <f t="shared" si="36"/>
        <v>0</v>
      </c>
      <c r="AC242" s="430">
        <f t="shared" si="36"/>
        <v>0</v>
      </c>
      <c r="AD242" s="430">
        <f t="shared" si="36"/>
        <v>0</v>
      </c>
      <c r="AE242" s="432">
        <f t="shared" si="36"/>
        <v>0</v>
      </c>
      <c r="AF242" s="433">
        <f t="shared" si="35"/>
        <v>0</v>
      </c>
      <c r="AG242" s="434">
        <f t="shared" si="35"/>
        <v>0</v>
      </c>
      <c r="AH242" s="434">
        <f t="shared" si="35"/>
        <v>0.44013632198741487</v>
      </c>
    </row>
    <row r="243" spans="1:34" ht="33" customHeight="1" x14ac:dyDescent="0.35">
      <c r="A243" s="413" t="s">
        <v>414</v>
      </c>
      <c r="B243" s="260" t="s">
        <v>248</v>
      </c>
      <c r="C243" s="259" t="s">
        <v>573</v>
      </c>
      <c r="D243" s="260" t="s">
        <v>920</v>
      </c>
      <c r="E243" s="260" t="s">
        <v>574</v>
      </c>
      <c r="F243" s="414"/>
      <c r="G243" s="429">
        <v>0</v>
      </c>
      <c r="H243" s="430">
        <v>0</v>
      </c>
      <c r="I243" s="431">
        <v>0</v>
      </c>
      <c r="J243" s="432">
        <v>0.1</v>
      </c>
      <c r="K243" s="433">
        <v>0</v>
      </c>
      <c r="L243" s="434">
        <v>0.11111111111111115</v>
      </c>
      <c r="M243" s="435">
        <v>99.634010875220184</v>
      </c>
      <c r="N243" s="420">
        <v>-99.634010875220184</v>
      </c>
      <c r="T243" s="415">
        <f t="shared" si="28"/>
        <v>0</v>
      </c>
      <c r="U243" s="416">
        <f t="shared" si="29"/>
        <v>0</v>
      </c>
      <c r="V243" s="416">
        <f t="shared" si="30"/>
        <v>0</v>
      </c>
      <c r="W243" s="417">
        <f t="shared" si="31"/>
        <v>-4.2105263157894784E-2</v>
      </c>
      <c r="X243" s="418">
        <f t="shared" si="32"/>
        <v>-0.25</v>
      </c>
      <c r="Y243" s="419">
        <f t="shared" si="33"/>
        <v>-0.18518518518518512</v>
      </c>
      <c r="Z243" s="419">
        <f t="shared" si="34"/>
        <v>-9.3468823887716115E-2</v>
      </c>
      <c r="AB243" s="429">
        <f t="shared" si="36"/>
        <v>0</v>
      </c>
      <c r="AC243" s="430">
        <f t="shared" si="36"/>
        <v>0</v>
      </c>
      <c r="AD243" s="430">
        <f t="shared" si="36"/>
        <v>0</v>
      </c>
      <c r="AE243" s="432">
        <f t="shared" si="36"/>
        <v>0</v>
      </c>
      <c r="AF243" s="433">
        <f t="shared" si="35"/>
        <v>0</v>
      </c>
      <c r="AG243" s="434">
        <f t="shared" si="35"/>
        <v>0</v>
      </c>
      <c r="AH243" s="434">
        <f t="shared" si="35"/>
        <v>0</v>
      </c>
    </row>
    <row r="244" spans="1:34" ht="33" customHeight="1" x14ac:dyDescent="0.35">
      <c r="A244" s="413" t="s">
        <v>575</v>
      </c>
      <c r="B244" s="260" t="s">
        <v>10</v>
      </c>
      <c r="C244" s="259" t="s">
        <v>576</v>
      </c>
      <c r="D244" s="260" t="s">
        <v>918</v>
      </c>
      <c r="E244" s="260" t="s">
        <v>577</v>
      </c>
      <c r="F244" s="414"/>
      <c r="G244" s="429">
        <v>0</v>
      </c>
      <c r="H244" s="430">
        <v>0</v>
      </c>
      <c r="I244" s="431">
        <v>0</v>
      </c>
      <c r="J244" s="432">
        <v>0.1</v>
      </c>
      <c r="K244" s="433">
        <v>8.1081081081080975E-2</v>
      </c>
      <c r="L244" s="434">
        <v>0.15151515151515155</v>
      </c>
      <c r="M244" s="435">
        <v>99.455990517969326</v>
      </c>
      <c r="N244" s="420">
        <v>-99.455990517969326</v>
      </c>
      <c r="T244" s="415">
        <f t="shared" si="28"/>
        <v>0</v>
      </c>
      <c r="U244" s="416">
        <f t="shared" si="29"/>
        <v>0</v>
      </c>
      <c r="V244" s="416">
        <f t="shared" si="30"/>
        <v>0</v>
      </c>
      <c r="W244" s="417">
        <f t="shared" si="31"/>
        <v>-4.2105263157894784E-2</v>
      </c>
      <c r="X244" s="418">
        <f t="shared" si="32"/>
        <v>-0.1486486486486488</v>
      </c>
      <c r="Y244" s="419">
        <f t="shared" si="33"/>
        <v>-0.13131313131313127</v>
      </c>
      <c r="Z244" s="419">
        <f t="shared" si="34"/>
        <v>-9.1814914959776658E-2</v>
      </c>
      <c r="AB244" s="429">
        <f t="shared" si="36"/>
        <v>0</v>
      </c>
      <c r="AC244" s="430">
        <f t="shared" si="36"/>
        <v>0</v>
      </c>
      <c r="AD244" s="430">
        <f t="shared" si="36"/>
        <v>0</v>
      </c>
      <c r="AE244" s="432">
        <f t="shared" si="36"/>
        <v>0</v>
      </c>
      <c r="AF244" s="433">
        <f t="shared" si="35"/>
        <v>0</v>
      </c>
      <c r="AG244" s="434">
        <f t="shared" si="35"/>
        <v>0</v>
      </c>
      <c r="AH244" s="434">
        <f t="shared" si="35"/>
        <v>0</v>
      </c>
    </row>
    <row r="245" spans="1:34" ht="33" customHeight="1" x14ac:dyDescent="0.35">
      <c r="A245" s="413" t="s">
        <v>575</v>
      </c>
      <c r="B245" s="260" t="s">
        <v>13</v>
      </c>
      <c r="C245" s="259" t="s">
        <v>578</v>
      </c>
      <c r="D245" s="260" t="s">
        <v>918</v>
      </c>
      <c r="E245" s="260" t="s">
        <v>579</v>
      </c>
      <c r="F245" s="414"/>
      <c r="G245" s="429">
        <v>1</v>
      </c>
      <c r="H245" s="430">
        <v>0</v>
      </c>
      <c r="I245" s="431">
        <v>0</v>
      </c>
      <c r="J245" s="432">
        <v>0</v>
      </c>
      <c r="K245" s="433">
        <v>2.7027027027026945E-2</v>
      </c>
      <c r="L245" s="434">
        <v>3.0303030303030311E-2</v>
      </c>
      <c r="M245" s="435">
        <v>121.26005207204267</v>
      </c>
      <c r="N245" s="420">
        <v>-121.26005207204267</v>
      </c>
      <c r="T245" s="415">
        <f t="shared" si="28"/>
        <v>0.25</v>
      </c>
      <c r="U245" s="416">
        <f t="shared" si="29"/>
        <v>0</v>
      </c>
      <c r="V245" s="416">
        <f t="shared" si="30"/>
        <v>0</v>
      </c>
      <c r="W245" s="417">
        <f t="shared" si="31"/>
        <v>-0.15789473684210534</v>
      </c>
      <c r="X245" s="418">
        <f t="shared" si="32"/>
        <v>-0.21621621621621631</v>
      </c>
      <c r="Y245" s="419">
        <f t="shared" si="33"/>
        <v>-0.29292929292929293</v>
      </c>
      <c r="Z245" s="419">
        <f t="shared" si="34"/>
        <v>-0.29438687148498704</v>
      </c>
      <c r="AB245" s="429">
        <f t="shared" si="36"/>
        <v>0.25</v>
      </c>
      <c r="AC245" s="430">
        <f t="shared" si="36"/>
        <v>0</v>
      </c>
      <c r="AD245" s="430">
        <f t="shared" si="36"/>
        <v>0</v>
      </c>
      <c r="AE245" s="432">
        <f t="shared" si="36"/>
        <v>0</v>
      </c>
      <c r="AF245" s="433">
        <f t="shared" si="35"/>
        <v>0</v>
      </c>
      <c r="AG245" s="434">
        <f t="shared" si="35"/>
        <v>0</v>
      </c>
      <c r="AH245" s="434">
        <f t="shared" si="35"/>
        <v>0</v>
      </c>
    </row>
    <row r="246" spans="1:34" ht="33" customHeight="1" x14ac:dyDescent="0.35">
      <c r="A246" s="413" t="s">
        <v>575</v>
      </c>
      <c r="B246" s="260" t="s">
        <v>16</v>
      </c>
      <c r="C246" s="259" t="s">
        <v>580</v>
      </c>
      <c r="D246" s="260" t="s">
        <v>918</v>
      </c>
      <c r="E246" s="260" t="s">
        <v>581</v>
      </c>
      <c r="F246" s="414"/>
      <c r="G246" s="429">
        <v>1</v>
      </c>
      <c r="H246" s="430">
        <v>2</v>
      </c>
      <c r="I246" s="431">
        <v>4</v>
      </c>
      <c r="J246" s="432">
        <v>0.2</v>
      </c>
      <c r="K246" s="433">
        <v>0.45945945945945943</v>
      </c>
      <c r="L246" s="434">
        <v>0.51515151515151514</v>
      </c>
      <c r="M246" s="463">
        <v>67.772367620206936</v>
      </c>
      <c r="N246" s="420">
        <v>-67.772367620206936</v>
      </c>
      <c r="T246" s="415">
        <f t="shared" si="28"/>
        <v>0.25</v>
      </c>
      <c r="U246" s="416">
        <f t="shared" si="29"/>
        <v>0.5</v>
      </c>
      <c r="V246" s="416">
        <f t="shared" si="30"/>
        <v>1</v>
      </c>
      <c r="W246" s="417">
        <f t="shared" si="31"/>
        <v>7.3684210526315755E-2</v>
      </c>
      <c r="X246" s="418">
        <f t="shared" si="32"/>
        <v>0.32432432432432423</v>
      </c>
      <c r="Y246" s="419">
        <f t="shared" si="33"/>
        <v>0.35353535353535354</v>
      </c>
      <c r="Z246" s="419">
        <f t="shared" si="34"/>
        <v>0.20254370553346165</v>
      </c>
      <c r="AB246" s="429">
        <f t="shared" si="36"/>
        <v>0.25</v>
      </c>
      <c r="AC246" s="430">
        <f t="shared" si="36"/>
        <v>0.5</v>
      </c>
      <c r="AD246" s="430">
        <f t="shared" si="36"/>
        <v>1</v>
      </c>
      <c r="AE246" s="432">
        <f t="shared" si="36"/>
        <v>7.3684210526315755E-2</v>
      </c>
      <c r="AF246" s="433">
        <f t="shared" si="35"/>
        <v>0.32432432432432423</v>
      </c>
      <c r="AG246" s="434">
        <f t="shared" si="35"/>
        <v>0.35353535353535354</v>
      </c>
      <c r="AH246" s="434">
        <f t="shared" si="35"/>
        <v>0.20254370553346165</v>
      </c>
    </row>
    <row r="247" spans="1:34" ht="33" customHeight="1" x14ac:dyDescent="0.35">
      <c r="A247" s="413" t="s">
        <v>575</v>
      </c>
      <c r="B247" s="260" t="s">
        <v>19</v>
      </c>
      <c r="C247" s="259" t="s">
        <v>582</v>
      </c>
      <c r="D247" s="260" t="s">
        <v>918</v>
      </c>
      <c r="E247" s="260" t="s">
        <v>583</v>
      </c>
      <c r="F247" s="414"/>
      <c r="G247" s="429">
        <v>2</v>
      </c>
      <c r="H247" s="430">
        <v>1</v>
      </c>
      <c r="I247" s="431">
        <v>1</v>
      </c>
      <c r="J247" s="432">
        <v>0.1</v>
      </c>
      <c r="K247" s="433">
        <v>0.1891891891891892</v>
      </c>
      <c r="L247" s="434">
        <v>0.15151515151515155</v>
      </c>
      <c r="M247" s="435">
        <v>139.2396103182341</v>
      </c>
      <c r="N247" s="420">
        <v>-139.2396103182341</v>
      </c>
      <c r="T247" s="415">
        <f t="shared" si="28"/>
        <v>0.5</v>
      </c>
      <c r="U247" s="416">
        <f t="shared" si="29"/>
        <v>0.25</v>
      </c>
      <c r="V247" s="416">
        <f t="shared" si="30"/>
        <v>0.25</v>
      </c>
      <c r="W247" s="417">
        <f t="shared" si="31"/>
        <v>-4.2105263157894784E-2</v>
      </c>
      <c r="X247" s="418">
        <f t="shared" si="32"/>
        <v>-1.3513513513513514E-2</v>
      </c>
      <c r="Y247" s="419">
        <f t="shared" si="33"/>
        <v>-0.13131313131313127</v>
      </c>
      <c r="Z247" s="419">
        <f t="shared" si="34"/>
        <v>-0.46142704802996504</v>
      </c>
      <c r="AB247" s="429">
        <f t="shared" si="36"/>
        <v>0.5</v>
      </c>
      <c r="AC247" s="430">
        <f t="shared" si="36"/>
        <v>0.25</v>
      </c>
      <c r="AD247" s="430">
        <f t="shared" si="36"/>
        <v>0.25</v>
      </c>
      <c r="AE247" s="432">
        <f t="shared" si="36"/>
        <v>0</v>
      </c>
      <c r="AF247" s="433">
        <f t="shared" si="35"/>
        <v>0</v>
      </c>
      <c r="AG247" s="434">
        <f t="shared" si="35"/>
        <v>0</v>
      </c>
      <c r="AH247" s="434">
        <f t="shared" si="35"/>
        <v>0</v>
      </c>
    </row>
    <row r="248" spans="1:34" ht="33" customHeight="1" x14ac:dyDescent="0.35">
      <c r="A248" s="413" t="s">
        <v>575</v>
      </c>
      <c r="B248" s="260" t="s">
        <v>23</v>
      </c>
      <c r="C248" s="259" t="s">
        <v>584</v>
      </c>
      <c r="D248" s="260" t="s">
        <v>918</v>
      </c>
      <c r="E248" s="260" t="s">
        <v>585</v>
      </c>
      <c r="F248" s="414"/>
      <c r="G248" s="429">
        <v>0</v>
      </c>
      <c r="H248" s="430">
        <v>0</v>
      </c>
      <c r="I248" s="431">
        <v>0</v>
      </c>
      <c r="J248" s="432">
        <v>0.15</v>
      </c>
      <c r="K248" s="433">
        <v>8.1081081081080975E-2</v>
      </c>
      <c r="L248" s="434">
        <v>0.15151515151515155</v>
      </c>
      <c r="M248" s="435">
        <v>90.710522145913032</v>
      </c>
      <c r="N248" s="420">
        <v>-90.710522145913032</v>
      </c>
      <c r="T248" s="415">
        <f t="shared" si="28"/>
        <v>0</v>
      </c>
      <c r="U248" s="416">
        <f t="shared" si="29"/>
        <v>0</v>
      </c>
      <c r="V248" s="416">
        <f t="shared" si="30"/>
        <v>0</v>
      </c>
      <c r="W248" s="417">
        <f t="shared" si="31"/>
        <v>1.5789473684210468E-2</v>
      </c>
      <c r="X248" s="418">
        <f t="shared" si="32"/>
        <v>-0.1486486486486488</v>
      </c>
      <c r="Y248" s="419">
        <f t="shared" si="33"/>
        <v>-0.13131313131313127</v>
      </c>
      <c r="Z248" s="419">
        <f t="shared" si="34"/>
        <v>-1.0564610539964122E-2</v>
      </c>
      <c r="AB248" s="429">
        <f t="shared" si="36"/>
        <v>0</v>
      </c>
      <c r="AC248" s="430">
        <f t="shared" si="36"/>
        <v>0</v>
      </c>
      <c r="AD248" s="430">
        <f t="shared" si="36"/>
        <v>0</v>
      </c>
      <c r="AE248" s="432">
        <f t="shared" si="36"/>
        <v>1.5789473684210468E-2</v>
      </c>
      <c r="AF248" s="433">
        <f t="shared" si="35"/>
        <v>0</v>
      </c>
      <c r="AG248" s="434">
        <f t="shared" si="35"/>
        <v>0</v>
      </c>
      <c r="AH248" s="434">
        <f t="shared" si="35"/>
        <v>0</v>
      </c>
    </row>
    <row r="249" spans="1:34" ht="33" customHeight="1" x14ac:dyDescent="0.35">
      <c r="A249" s="413" t="s">
        <v>575</v>
      </c>
      <c r="B249" s="260" t="s">
        <v>26</v>
      </c>
      <c r="C249" s="259" t="s">
        <v>586</v>
      </c>
      <c r="D249" s="260" t="s">
        <v>918</v>
      </c>
      <c r="E249" s="260" t="s">
        <v>587</v>
      </c>
      <c r="F249" s="414"/>
      <c r="G249" s="429">
        <v>0</v>
      </c>
      <c r="H249" s="430">
        <v>0</v>
      </c>
      <c r="I249" s="431">
        <v>0</v>
      </c>
      <c r="J249" s="432">
        <v>0.1</v>
      </c>
      <c r="K249" s="433">
        <v>0.51351351351351349</v>
      </c>
      <c r="L249" s="434">
        <v>0.39393939393939392</v>
      </c>
      <c r="M249" s="435">
        <v>13.44008911020515</v>
      </c>
      <c r="N249" s="420">
        <v>-13.44008911020515</v>
      </c>
      <c r="T249" s="415">
        <f t="shared" si="28"/>
        <v>0</v>
      </c>
      <c r="U249" s="416">
        <f t="shared" si="29"/>
        <v>0</v>
      </c>
      <c r="V249" s="416">
        <f t="shared" si="30"/>
        <v>0</v>
      </c>
      <c r="W249" s="417">
        <f t="shared" si="31"/>
        <v>-4.2105263157894784E-2</v>
      </c>
      <c r="X249" s="418">
        <f t="shared" si="32"/>
        <v>0.39189189189189183</v>
      </c>
      <c r="Y249" s="419">
        <f t="shared" si="33"/>
        <v>0.19191919191919191</v>
      </c>
      <c r="Z249" s="419">
        <f t="shared" si="34"/>
        <v>0.70732103488325759</v>
      </c>
      <c r="AB249" s="429">
        <f t="shared" si="36"/>
        <v>0</v>
      </c>
      <c r="AC249" s="430">
        <f t="shared" si="36"/>
        <v>0</v>
      </c>
      <c r="AD249" s="430">
        <f t="shared" si="36"/>
        <v>0</v>
      </c>
      <c r="AE249" s="432">
        <f t="shared" si="36"/>
        <v>0</v>
      </c>
      <c r="AF249" s="433">
        <f t="shared" si="35"/>
        <v>0.39189189189189183</v>
      </c>
      <c r="AG249" s="434">
        <f t="shared" si="35"/>
        <v>0.19191919191919191</v>
      </c>
      <c r="AH249" s="434">
        <f t="shared" si="35"/>
        <v>0.70732103488325759</v>
      </c>
    </row>
    <row r="250" spans="1:34" ht="33" customHeight="1" x14ac:dyDescent="0.35">
      <c r="A250" s="426" t="s">
        <v>575</v>
      </c>
      <c r="B250" s="427" t="s">
        <v>29</v>
      </c>
      <c r="C250" s="428" t="s">
        <v>588</v>
      </c>
      <c r="D250" s="462" t="s">
        <v>915</v>
      </c>
      <c r="E250" s="260" t="s">
        <v>589</v>
      </c>
      <c r="F250" s="414"/>
      <c r="G250" s="429">
        <v>0</v>
      </c>
      <c r="H250" s="430">
        <v>0</v>
      </c>
      <c r="I250" s="431">
        <v>2</v>
      </c>
      <c r="J250" s="432">
        <v>0.6</v>
      </c>
      <c r="K250" s="433">
        <v>1</v>
      </c>
      <c r="L250" s="434">
        <v>1</v>
      </c>
      <c r="M250" s="435">
        <v>3.0639790308775834</v>
      </c>
      <c r="N250" s="420">
        <v>-3.0639790308775834</v>
      </c>
      <c r="T250" s="415">
        <f t="shared" si="28"/>
        <v>0</v>
      </c>
      <c r="U250" s="416">
        <f t="shared" si="29"/>
        <v>0</v>
      </c>
      <c r="V250" s="416">
        <f t="shared" si="30"/>
        <v>0.5</v>
      </c>
      <c r="W250" s="417">
        <f t="shared" si="31"/>
        <v>0.5368421052631579</v>
      </c>
      <c r="X250" s="418">
        <f t="shared" si="32"/>
        <v>1</v>
      </c>
      <c r="Y250" s="419">
        <f t="shared" si="33"/>
        <v>1</v>
      </c>
      <c r="Z250" s="419">
        <f t="shared" si="34"/>
        <v>0.80372091500089882</v>
      </c>
      <c r="AB250" s="429">
        <f t="shared" si="36"/>
        <v>0</v>
      </c>
      <c r="AC250" s="430">
        <f t="shared" si="36"/>
        <v>0</v>
      </c>
      <c r="AD250" s="430">
        <f t="shared" si="36"/>
        <v>0.5</v>
      </c>
      <c r="AE250" s="432">
        <f t="shared" si="36"/>
        <v>0.5368421052631579</v>
      </c>
      <c r="AF250" s="433">
        <f t="shared" si="35"/>
        <v>1</v>
      </c>
      <c r="AG250" s="434">
        <f t="shared" si="35"/>
        <v>1</v>
      </c>
      <c r="AH250" s="434">
        <f t="shared" si="35"/>
        <v>0.80372091500089882</v>
      </c>
    </row>
    <row r="251" spans="1:34" ht="33" customHeight="1" x14ac:dyDescent="0.35">
      <c r="A251" s="413" t="s">
        <v>575</v>
      </c>
      <c r="B251" s="260" t="s">
        <v>32</v>
      </c>
      <c r="C251" s="259" t="s">
        <v>590</v>
      </c>
      <c r="D251" s="260" t="s">
        <v>919</v>
      </c>
      <c r="E251" s="260" t="s">
        <v>591</v>
      </c>
      <c r="F251" s="414"/>
      <c r="G251" s="429">
        <v>0</v>
      </c>
      <c r="H251" s="430">
        <v>0</v>
      </c>
      <c r="I251" s="431">
        <v>0</v>
      </c>
      <c r="J251" s="432">
        <v>0.1</v>
      </c>
      <c r="K251" s="433">
        <v>2.7027027027026945E-2</v>
      </c>
      <c r="L251" s="434">
        <v>3.0303030303030311E-2</v>
      </c>
      <c r="M251" s="435">
        <v>4.8646186029789069</v>
      </c>
      <c r="N251" s="420">
        <v>-4.8646186029789069</v>
      </c>
      <c r="T251" s="415">
        <f t="shared" si="28"/>
        <v>0</v>
      </c>
      <c r="U251" s="416">
        <f t="shared" si="29"/>
        <v>0</v>
      </c>
      <c r="V251" s="416">
        <f t="shared" si="30"/>
        <v>0</v>
      </c>
      <c r="W251" s="417">
        <f t="shared" si="31"/>
        <v>-4.2105263157894784E-2</v>
      </c>
      <c r="X251" s="418">
        <f t="shared" si="32"/>
        <v>-0.21621621621621631</v>
      </c>
      <c r="Y251" s="419">
        <f t="shared" si="33"/>
        <v>-0.29292929292929293</v>
      </c>
      <c r="Z251" s="419">
        <f t="shared" si="34"/>
        <v>0.78699196382761893</v>
      </c>
      <c r="AB251" s="429">
        <f t="shared" si="36"/>
        <v>0</v>
      </c>
      <c r="AC251" s="430">
        <f t="shared" si="36"/>
        <v>0</v>
      </c>
      <c r="AD251" s="430">
        <f t="shared" si="36"/>
        <v>0</v>
      </c>
      <c r="AE251" s="432">
        <f t="shared" si="36"/>
        <v>0</v>
      </c>
      <c r="AF251" s="433">
        <f t="shared" si="35"/>
        <v>0</v>
      </c>
      <c r="AG251" s="434">
        <f t="shared" si="35"/>
        <v>0</v>
      </c>
      <c r="AH251" s="434">
        <f t="shared" si="35"/>
        <v>0.78699196382761893</v>
      </c>
    </row>
    <row r="252" spans="1:34" ht="33" customHeight="1" x14ac:dyDescent="0.35">
      <c r="A252" s="413" t="s">
        <v>575</v>
      </c>
      <c r="B252" s="260" t="s">
        <v>35</v>
      </c>
      <c r="C252" s="259" t="s">
        <v>592</v>
      </c>
      <c r="D252" s="260" t="s">
        <v>919</v>
      </c>
      <c r="E252" s="260" t="s">
        <v>593</v>
      </c>
      <c r="F252" s="414"/>
      <c r="G252" s="429">
        <v>2</v>
      </c>
      <c r="H252" s="430">
        <v>2</v>
      </c>
      <c r="I252" s="431">
        <v>2</v>
      </c>
      <c r="J252" s="452">
        <v>0.05</v>
      </c>
      <c r="K252" s="453">
        <v>0.15</v>
      </c>
      <c r="L252" s="454">
        <v>0.44444444444444442</v>
      </c>
      <c r="M252" s="455">
        <v>25.220680109739952</v>
      </c>
      <c r="N252" s="420">
        <v>-25.220680109739952</v>
      </c>
      <c r="T252" s="415">
        <f t="shared" si="28"/>
        <v>0.5</v>
      </c>
      <c r="U252" s="416">
        <f t="shared" si="29"/>
        <v>0.5</v>
      </c>
      <c r="V252" s="416">
        <f t="shared" si="30"/>
        <v>0.5</v>
      </c>
      <c r="W252" s="417">
        <f t="shared" si="31"/>
        <v>-0.10000000000000006</v>
      </c>
      <c r="X252" s="418">
        <f t="shared" si="32"/>
        <v>-6.2500000000000014E-2</v>
      </c>
      <c r="Y252" s="419">
        <f t="shared" si="33"/>
        <v>0.25925925925925924</v>
      </c>
      <c r="Z252" s="419">
        <f t="shared" si="34"/>
        <v>0.59787273957915499</v>
      </c>
      <c r="AB252" s="429">
        <f t="shared" si="36"/>
        <v>0.5</v>
      </c>
      <c r="AC252" s="430">
        <f t="shared" si="36"/>
        <v>0.5</v>
      </c>
      <c r="AD252" s="430">
        <f t="shared" si="36"/>
        <v>0.5</v>
      </c>
      <c r="AE252" s="432">
        <f t="shared" si="36"/>
        <v>0</v>
      </c>
      <c r="AF252" s="433">
        <f t="shared" si="35"/>
        <v>0</v>
      </c>
      <c r="AG252" s="434">
        <f t="shared" si="35"/>
        <v>0.25925925925925924</v>
      </c>
      <c r="AH252" s="434">
        <f t="shared" si="35"/>
        <v>0.59787273957915499</v>
      </c>
    </row>
    <row r="253" spans="1:34" ht="33" customHeight="1" x14ac:dyDescent="0.35">
      <c r="A253" s="413" t="s">
        <v>575</v>
      </c>
      <c r="B253" s="260" t="s">
        <v>38</v>
      </c>
      <c r="C253" s="259" t="s">
        <v>594</v>
      </c>
      <c r="D253" s="260" t="s">
        <v>918</v>
      </c>
      <c r="E253" s="260" t="s">
        <v>595</v>
      </c>
      <c r="F253" s="414"/>
      <c r="G253" s="429">
        <v>0</v>
      </c>
      <c r="H253" s="430">
        <v>0</v>
      </c>
      <c r="I253" s="431">
        <v>0</v>
      </c>
      <c r="J253" s="432">
        <v>0.05</v>
      </c>
      <c r="K253" s="433">
        <v>8.1081081081080975E-2</v>
      </c>
      <c r="L253" s="434">
        <v>3.0303030303030311E-2</v>
      </c>
      <c r="M253" s="435">
        <v>92.47604459670471</v>
      </c>
      <c r="N253" s="420">
        <v>-92.47604459670471</v>
      </c>
      <c r="T253" s="415">
        <f t="shared" si="28"/>
        <v>0</v>
      </c>
      <c r="U253" s="416">
        <f t="shared" si="29"/>
        <v>0</v>
      </c>
      <c r="V253" s="416">
        <f t="shared" si="30"/>
        <v>0</v>
      </c>
      <c r="W253" s="417">
        <f t="shared" si="31"/>
        <v>-0.10000000000000006</v>
      </c>
      <c r="X253" s="418">
        <f t="shared" si="32"/>
        <v>-0.1486486486486488</v>
      </c>
      <c r="Y253" s="419">
        <f t="shared" si="33"/>
        <v>-0.29292929292929293</v>
      </c>
      <c r="Z253" s="419">
        <f t="shared" si="34"/>
        <v>-2.6967303967475612E-2</v>
      </c>
      <c r="AB253" s="429">
        <f t="shared" si="36"/>
        <v>0</v>
      </c>
      <c r="AC253" s="430">
        <f t="shared" si="36"/>
        <v>0</v>
      </c>
      <c r="AD253" s="430">
        <f t="shared" si="36"/>
        <v>0</v>
      </c>
      <c r="AE253" s="432">
        <f t="shared" si="36"/>
        <v>0</v>
      </c>
      <c r="AF253" s="433">
        <f t="shared" si="35"/>
        <v>0</v>
      </c>
      <c r="AG253" s="434">
        <f t="shared" si="35"/>
        <v>0</v>
      </c>
      <c r="AH253" s="434">
        <f t="shared" si="35"/>
        <v>0</v>
      </c>
    </row>
    <row r="254" spans="1:34" ht="33" customHeight="1" x14ac:dyDescent="0.35">
      <c r="A254" s="413" t="s">
        <v>575</v>
      </c>
      <c r="B254" s="260" t="s">
        <v>41</v>
      </c>
      <c r="C254" s="259" t="s">
        <v>596</v>
      </c>
      <c r="D254" s="260" t="s">
        <v>918</v>
      </c>
      <c r="E254" s="260" t="s">
        <v>597</v>
      </c>
      <c r="F254" s="414"/>
      <c r="G254" s="429">
        <v>0</v>
      </c>
      <c r="H254" s="430">
        <v>0</v>
      </c>
      <c r="I254" s="431">
        <v>0</v>
      </c>
      <c r="J254" s="432">
        <v>0</v>
      </c>
      <c r="K254" s="433">
        <v>2.7027027027026945E-2</v>
      </c>
      <c r="L254" s="434">
        <v>3.0303030303030311E-2</v>
      </c>
      <c r="M254" s="435">
        <v>98.579979447714891</v>
      </c>
      <c r="N254" s="420">
        <v>-98.579979447714891</v>
      </c>
      <c r="T254" s="415">
        <f t="shared" si="28"/>
        <v>0</v>
      </c>
      <c r="U254" s="416">
        <f t="shared" si="29"/>
        <v>0</v>
      </c>
      <c r="V254" s="416">
        <f t="shared" si="30"/>
        <v>0</v>
      </c>
      <c r="W254" s="417">
        <f t="shared" si="31"/>
        <v>-0.15789473684210534</v>
      </c>
      <c r="X254" s="418">
        <f t="shared" si="32"/>
        <v>-0.21621621621621631</v>
      </c>
      <c r="Y254" s="419">
        <f t="shared" si="33"/>
        <v>-0.29292929292929293</v>
      </c>
      <c r="Z254" s="419">
        <f t="shared" si="34"/>
        <v>-8.3676280971833578E-2</v>
      </c>
      <c r="AB254" s="429">
        <f t="shared" si="36"/>
        <v>0</v>
      </c>
      <c r="AC254" s="430">
        <f t="shared" si="36"/>
        <v>0</v>
      </c>
      <c r="AD254" s="430">
        <f t="shared" si="36"/>
        <v>0</v>
      </c>
      <c r="AE254" s="432">
        <f t="shared" si="36"/>
        <v>0</v>
      </c>
      <c r="AF254" s="433">
        <f t="shared" si="35"/>
        <v>0</v>
      </c>
      <c r="AG254" s="434">
        <f t="shared" si="35"/>
        <v>0</v>
      </c>
      <c r="AH254" s="434">
        <f t="shared" si="35"/>
        <v>0</v>
      </c>
    </row>
    <row r="255" spans="1:34" ht="33" customHeight="1" x14ac:dyDescent="0.35">
      <c r="A255" s="413" t="s">
        <v>575</v>
      </c>
      <c r="B255" s="260" t="s">
        <v>44</v>
      </c>
      <c r="C255" s="259" t="s">
        <v>598</v>
      </c>
      <c r="D255" s="260" t="s">
        <v>918</v>
      </c>
      <c r="E255" s="260" t="s">
        <v>599</v>
      </c>
      <c r="F255" s="414"/>
      <c r="G255" s="429">
        <v>0</v>
      </c>
      <c r="H255" s="430">
        <v>0</v>
      </c>
      <c r="I255" s="431">
        <v>0</v>
      </c>
      <c r="J255" s="432">
        <v>0.1</v>
      </c>
      <c r="K255" s="433">
        <v>0.13513513513513517</v>
      </c>
      <c r="L255" s="434">
        <v>0.15151515151515155</v>
      </c>
      <c r="M255" s="435">
        <v>135.06177411615278</v>
      </c>
      <c r="N255" s="420">
        <v>-135.06177411615278</v>
      </c>
      <c r="T255" s="415">
        <f t="shared" si="28"/>
        <v>0</v>
      </c>
      <c r="U255" s="416">
        <f t="shared" si="29"/>
        <v>0</v>
      </c>
      <c r="V255" s="416">
        <f t="shared" si="30"/>
        <v>0</v>
      </c>
      <c r="W255" s="417">
        <f t="shared" si="31"/>
        <v>-4.2105263157894784E-2</v>
      </c>
      <c r="X255" s="418">
        <f t="shared" si="32"/>
        <v>-8.1081081081081044E-2</v>
      </c>
      <c r="Y255" s="419">
        <f t="shared" si="33"/>
        <v>-0.13131313131313127</v>
      </c>
      <c r="Z255" s="419">
        <f t="shared" si="34"/>
        <v>-0.42261260736263151</v>
      </c>
      <c r="AB255" s="429">
        <f t="shared" si="36"/>
        <v>0</v>
      </c>
      <c r="AC255" s="430">
        <f t="shared" si="36"/>
        <v>0</v>
      </c>
      <c r="AD255" s="430">
        <f t="shared" si="36"/>
        <v>0</v>
      </c>
      <c r="AE255" s="432">
        <f t="shared" si="36"/>
        <v>0</v>
      </c>
      <c r="AF255" s="433">
        <f t="shared" si="35"/>
        <v>0</v>
      </c>
      <c r="AG255" s="434">
        <f t="shared" si="35"/>
        <v>0</v>
      </c>
      <c r="AH255" s="434">
        <f t="shared" si="35"/>
        <v>0</v>
      </c>
    </row>
    <row r="256" spans="1:34" ht="33" customHeight="1" x14ac:dyDescent="0.35">
      <c r="A256" s="413" t="s">
        <v>575</v>
      </c>
      <c r="B256" s="260" t="s">
        <v>47</v>
      </c>
      <c r="C256" s="259" t="s">
        <v>600</v>
      </c>
      <c r="D256" s="260" t="s">
        <v>918</v>
      </c>
      <c r="E256" s="260" t="s">
        <v>601</v>
      </c>
      <c r="F256" s="414"/>
      <c r="G256" s="429">
        <v>0</v>
      </c>
      <c r="H256" s="430">
        <v>0</v>
      </c>
      <c r="I256" s="431">
        <v>0</v>
      </c>
      <c r="J256" s="432">
        <v>0.1</v>
      </c>
      <c r="K256" s="433">
        <v>0.1891891891891892</v>
      </c>
      <c r="L256" s="434">
        <v>0.15151515151515155</v>
      </c>
      <c r="M256" s="435">
        <v>152.80191598361279</v>
      </c>
      <c r="N256" s="420">
        <v>-152.80191598361279</v>
      </c>
      <c r="T256" s="415">
        <f t="shared" si="28"/>
        <v>0</v>
      </c>
      <c r="U256" s="416">
        <f t="shared" si="29"/>
        <v>0</v>
      </c>
      <c r="V256" s="416">
        <f t="shared" si="30"/>
        <v>0</v>
      </c>
      <c r="W256" s="417">
        <f t="shared" si="31"/>
        <v>-4.2105263157894784E-2</v>
      </c>
      <c r="X256" s="418">
        <f t="shared" si="32"/>
        <v>-1.3513513513513514E-2</v>
      </c>
      <c r="Y256" s="419">
        <f t="shared" si="33"/>
        <v>-0.13131313131313127</v>
      </c>
      <c r="Z256" s="419">
        <f t="shared" si="34"/>
        <v>-0.58742847151775823</v>
      </c>
      <c r="AB256" s="429">
        <f t="shared" si="36"/>
        <v>0</v>
      </c>
      <c r="AC256" s="430">
        <f t="shared" si="36"/>
        <v>0</v>
      </c>
      <c r="AD256" s="430">
        <f t="shared" si="36"/>
        <v>0</v>
      </c>
      <c r="AE256" s="432">
        <f t="shared" si="36"/>
        <v>0</v>
      </c>
      <c r="AF256" s="433">
        <f t="shared" si="35"/>
        <v>0</v>
      </c>
      <c r="AG256" s="434">
        <f t="shared" si="35"/>
        <v>0</v>
      </c>
      <c r="AH256" s="434">
        <f t="shared" si="35"/>
        <v>0</v>
      </c>
    </row>
    <row r="257" spans="1:34" ht="33" customHeight="1" x14ac:dyDescent="0.35">
      <c r="A257" s="413" t="s">
        <v>575</v>
      </c>
      <c r="B257" s="260" t="s">
        <v>50</v>
      </c>
      <c r="C257" s="259" t="s">
        <v>602</v>
      </c>
      <c r="D257" s="260" t="s">
        <v>918</v>
      </c>
      <c r="E257" s="260" t="s">
        <v>603</v>
      </c>
      <c r="F257" s="414"/>
      <c r="G257" s="429">
        <v>0</v>
      </c>
      <c r="H257" s="430">
        <v>0</v>
      </c>
      <c r="I257" s="431">
        <v>0</v>
      </c>
      <c r="J257" s="432">
        <v>0.1</v>
      </c>
      <c r="K257" s="433">
        <v>0.24324324324324323</v>
      </c>
      <c r="L257" s="434">
        <v>0.21212121212121218</v>
      </c>
      <c r="M257" s="435">
        <v>125.47626831030561</v>
      </c>
      <c r="N257" s="420">
        <v>-125.47626831030561</v>
      </c>
      <c r="T257" s="415">
        <f t="shared" si="28"/>
        <v>0</v>
      </c>
      <c r="U257" s="416">
        <f t="shared" si="29"/>
        <v>0</v>
      </c>
      <c r="V257" s="416">
        <f t="shared" si="30"/>
        <v>0</v>
      </c>
      <c r="W257" s="417">
        <f t="shared" si="31"/>
        <v>-4.2105263157894784E-2</v>
      </c>
      <c r="X257" s="418">
        <f t="shared" si="32"/>
        <v>5.4054054054054022E-2</v>
      </c>
      <c r="Y257" s="419">
        <f t="shared" si="33"/>
        <v>-5.0505050505050421E-2</v>
      </c>
      <c r="Z257" s="419">
        <f t="shared" si="34"/>
        <v>-0.3335578842066389</v>
      </c>
      <c r="AB257" s="429">
        <f t="shared" si="36"/>
        <v>0</v>
      </c>
      <c r="AC257" s="430">
        <f t="shared" si="36"/>
        <v>0</v>
      </c>
      <c r="AD257" s="430">
        <f t="shared" si="36"/>
        <v>0</v>
      </c>
      <c r="AE257" s="432">
        <f t="shared" si="36"/>
        <v>0</v>
      </c>
      <c r="AF257" s="433">
        <f t="shared" si="35"/>
        <v>5.4054054054054022E-2</v>
      </c>
      <c r="AG257" s="434">
        <f t="shared" si="35"/>
        <v>0</v>
      </c>
      <c r="AH257" s="434">
        <f t="shared" si="35"/>
        <v>0</v>
      </c>
    </row>
    <row r="258" spans="1:34" ht="33" customHeight="1" x14ac:dyDescent="0.35">
      <c r="A258" s="413" t="s">
        <v>575</v>
      </c>
      <c r="B258" s="260" t="s">
        <v>53</v>
      </c>
      <c r="C258" s="259" t="s">
        <v>604</v>
      </c>
      <c r="D258" s="260" t="s">
        <v>919</v>
      </c>
      <c r="E258" s="260" t="s">
        <v>605</v>
      </c>
      <c r="F258" s="414"/>
      <c r="G258" s="429">
        <v>0</v>
      </c>
      <c r="H258" s="430">
        <v>0</v>
      </c>
      <c r="I258" s="431">
        <v>0</v>
      </c>
      <c r="J258" s="432">
        <v>0.15</v>
      </c>
      <c r="K258" s="433">
        <v>0.29729729729729726</v>
      </c>
      <c r="L258" s="434">
        <v>0.15151515151515155</v>
      </c>
      <c r="M258" s="435">
        <v>111.85718792615448</v>
      </c>
      <c r="N258" s="420">
        <v>-111.85718792615448</v>
      </c>
      <c r="T258" s="415">
        <f t="shared" si="28"/>
        <v>0</v>
      </c>
      <c r="U258" s="416">
        <f t="shared" si="29"/>
        <v>0</v>
      </c>
      <c r="V258" s="416">
        <f t="shared" si="30"/>
        <v>0</v>
      </c>
      <c r="W258" s="417">
        <f t="shared" si="31"/>
        <v>1.5789473684210468E-2</v>
      </c>
      <c r="X258" s="418">
        <f t="shared" si="32"/>
        <v>0.12162162162162156</v>
      </c>
      <c r="Y258" s="419">
        <f t="shared" si="33"/>
        <v>-0.13131313131313127</v>
      </c>
      <c r="Z258" s="419">
        <f t="shared" si="34"/>
        <v>-0.20702899175007669</v>
      </c>
      <c r="AB258" s="429">
        <f t="shared" si="36"/>
        <v>0</v>
      </c>
      <c r="AC258" s="430">
        <f t="shared" si="36"/>
        <v>0</v>
      </c>
      <c r="AD258" s="430">
        <f t="shared" si="36"/>
        <v>0</v>
      </c>
      <c r="AE258" s="432">
        <f t="shared" si="36"/>
        <v>1.5789473684210468E-2</v>
      </c>
      <c r="AF258" s="433">
        <f t="shared" si="35"/>
        <v>0.12162162162162156</v>
      </c>
      <c r="AG258" s="434">
        <f t="shared" si="35"/>
        <v>0</v>
      </c>
      <c r="AH258" s="434">
        <f t="shared" si="35"/>
        <v>0</v>
      </c>
    </row>
    <row r="259" spans="1:34" ht="33" customHeight="1" x14ac:dyDescent="0.35">
      <c r="A259" s="426" t="s">
        <v>575</v>
      </c>
      <c r="B259" s="427" t="s">
        <v>56</v>
      </c>
      <c r="C259" s="428" t="s">
        <v>606</v>
      </c>
      <c r="D259" s="260" t="s">
        <v>918</v>
      </c>
      <c r="E259" s="260" t="s">
        <v>607</v>
      </c>
      <c r="F259" s="414"/>
      <c r="G259" s="429">
        <v>0</v>
      </c>
      <c r="H259" s="430">
        <v>2</v>
      </c>
      <c r="I259" s="431">
        <v>4</v>
      </c>
      <c r="J259" s="432">
        <v>0.6</v>
      </c>
      <c r="K259" s="433">
        <v>0.78378378378378388</v>
      </c>
      <c r="L259" s="434">
        <v>0.93939393939393934</v>
      </c>
      <c r="M259" s="435">
        <v>19.210268556247851</v>
      </c>
      <c r="N259" s="420">
        <v>-19.210268556247851</v>
      </c>
      <c r="T259" s="415">
        <f t="shared" si="28"/>
        <v>0</v>
      </c>
      <c r="U259" s="416">
        <f t="shared" si="29"/>
        <v>0.5</v>
      </c>
      <c r="V259" s="416">
        <f t="shared" si="30"/>
        <v>1</v>
      </c>
      <c r="W259" s="417">
        <f t="shared" si="31"/>
        <v>0.5368421052631579</v>
      </c>
      <c r="X259" s="418">
        <f t="shared" si="32"/>
        <v>0.72972972972972971</v>
      </c>
      <c r="Y259" s="419">
        <f t="shared" si="33"/>
        <v>0.91919191919191912</v>
      </c>
      <c r="Z259" s="419">
        <f t="shared" si="34"/>
        <v>0.6537128327147006</v>
      </c>
      <c r="AB259" s="429">
        <f t="shared" si="36"/>
        <v>0</v>
      </c>
      <c r="AC259" s="430">
        <f t="shared" si="36"/>
        <v>0.5</v>
      </c>
      <c r="AD259" s="430">
        <f t="shared" si="36"/>
        <v>1</v>
      </c>
      <c r="AE259" s="432">
        <f t="shared" si="36"/>
        <v>0.5368421052631579</v>
      </c>
      <c r="AF259" s="433">
        <f t="shared" si="35"/>
        <v>0.72972972972972971</v>
      </c>
      <c r="AG259" s="434">
        <f t="shared" si="35"/>
        <v>0.91919191919191912</v>
      </c>
      <c r="AH259" s="434">
        <f t="shared" si="35"/>
        <v>0.6537128327147006</v>
      </c>
    </row>
    <row r="260" spans="1:34" ht="33" customHeight="1" x14ac:dyDescent="0.35">
      <c r="A260" s="413" t="s">
        <v>575</v>
      </c>
      <c r="B260" s="260" t="s">
        <v>59</v>
      </c>
      <c r="C260" s="259" t="s">
        <v>608</v>
      </c>
      <c r="D260" s="260" t="s">
        <v>925</v>
      </c>
      <c r="E260" s="260" t="s">
        <v>609</v>
      </c>
      <c r="F260" s="414"/>
      <c r="G260" s="429">
        <v>1</v>
      </c>
      <c r="H260" s="430">
        <v>0</v>
      </c>
      <c r="I260" s="431">
        <v>0</v>
      </c>
      <c r="J260" s="432">
        <v>0.1</v>
      </c>
      <c r="K260" s="433">
        <v>2.7027027027026945E-2</v>
      </c>
      <c r="L260" s="434">
        <v>9.0909090909090939E-2</v>
      </c>
      <c r="M260" s="435">
        <v>116.71905344471017</v>
      </c>
      <c r="N260" s="420">
        <v>-116.71905344471017</v>
      </c>
      <c r="T260" s="415">
        <f t="shared" ref="T260:T323" si="37">(G260-$R$3)/($Q$3-$R$3)</f>
        <v>0.25</v>
      </c>
      <c r="U260" s="416">
        <f t="shared" ref="U260:U323" si="38">(H260-$R$4)/($Q$4-$R$4)</f>
        <v>0</v>
      </c>
      <c r="V260" s="416">
        <f t="shared" ref="V260:V323" si="39">(I260-$R$5)/($Q$5-$R$5)</f>
        <v>0</v>
      </c>
      <c r="W260" s="417">
        <f t="shared" ref="W260:W323" si="40">(J260-$R$7)/($Q$7-$R$7)</f>
        <v>-4.2105263157894784E-2</v>
      </c>
      <c r="X260" s="418">
        <f t="shared" ref="X260:X323" si="41">(K260-$R$8)/($Q$8-$R$8)</f>
        <v>-0.21621621621621631</v>
      </c>
      <c r="Y260" s="419">
        <f t="shared" ref="Y260:Y323" si="42">(L260-$R$9)/($Q$9-$R$9)</f>
        <v>-0.21212121212121207</v>
      </c>
      <c r="Z260" s="419">
        <f t="shared" si="34"/>
        <v>-0.25219844827604637</v>
      </c>
      <c r="AB260" s="429">
        <f t="shared" si="36"/>
        <v>0.25</v>
      </c>
      <c r="AC260" s="430">
        <f t="shared" si="36"/>
        <v>0</v>
      </c>
      <c r="AD260" s="430">
        <f t="shared" si="36"/>
        <v>0</v>
      </c>
      <c r="AE260" s="432">
        <f t="shared" si="36"/>
        <v>0</v>
      </c>
      <c r="AF260" s="433">
        <f t="shared" si="35"/>
        <v>0</v>
      </c>
      <c r="AG260" s="434">
        <f t="shared" si="35"/>
        <v>0</v>
      </c>
      <c r="AH260" s="434">
        <f t="shared" si="35"/>
        <v>0</v>
      </c>
    </row>
    <row r="261" spans="1:34" ht="33" customHeight="1" x14ac:dyDescent="0.35">
      <c r="A261" s="413" t="s">
        <v>575</v>
      </c>
      <c r="B261" s="260" t="s">
        <v>62</v>
      </c>
      <c r="C261" s="259" t="s">
        <v>610</v>
      </c>
      <c r="D261" s="260" t="s">
        <v>919</v>
      </c>
      <c r="E261" s="260" t="s">
        <v>611</v>
      </c>
      <c r="F261" s="414"/>
      <c r="G261" s="429">
        <v>0</v>
      </c>
      <c r="H261" s="430">
        <v>0</v>
      </c>
      <c r="I261" s="431">
        <v>0</v>
      </c>
      <c r="J261" s="432">
        <v>0.15</v>
      </c>
      <c r="K261" s="433">
        <v>8.1081081081080975E-2</v>
      </c>
      <c r="L261" s="434">
        <v>0.15151515151515155</v>
      </c>
      <c r="M261" s="435">
        <v>121.28395292347989</v>
      </c>
      <c r="N261" s="420">
        <v>-121.28395292347989</v>
      </c>
      <c r="T261" s="415">
        <f t="shared" si="37"/>
        <v>0</v>
      </c>
      <c r="U261" s="416">
        <f t="shared" si="38"/>
        <v>0</v>
      </c>
      <c r="V261" s="416">
        <f t="shared" si="39"/>
        <v>0</v>
      </c>
      <c r="W261" s="417">
        <f t="shared" si="40"/>
        <v>1.5789473684210468E-2</v>
      </c>
      <c r="X261" s="418">
        <f t="shared" si="41"/>
        <v>-0.1486486486486488</v>
      </c>
      <c r="Y261" s="419">
        <f t="shared" si="42"/>
        <v>-0.13131313131313127</v>
      </c>
      <c r="Z261" s="419">
        <f t="shared" ref="Z261:Z324" si="43">(N261-$R$11)/($Q$11-$R$11)</f>
        <v>-0.29460892379511511</v>
      </c>
      <c r="AB261" s="429">
        <f t="shared" si="36"/>
        <v>0</v>
      </c>
      <c r="AC261" s="430">
        <f t="shared" si="36"/>
        <v>0</v>
      </c>
      <c r="AD261" s="430">
        <f t="shared" si="36"/>
        <v>0</v>
      </c>
      <c r="AE261" s="432">
        <f t="shared" si="36"/>
        <v>1.5789473684210468E-2</v>
      </c>
      <c r="AF261" s="433">
        <f t="shared" si="36"/>
        <v>0</v>
      </c>
      <c r="AG261" s="434">
        <f t="shared" si="36"/>
        <v>0</v>
      </c>
      <c r="AH261" s="434">
        <f t="shared" si="36"/>
        <v>0</v>
      </c>
    </row>
    <row r="262" spans="1:34" ht="33" customHeight="1" x14ac:dyDescent="0.35">
      <c r="A262" s="413" t="s">
        <v>575</v>
      </c>
      <c r="B262" s="260" t="s">
        <v>65</v>
      </c>
      <c r="C262" s="259" t="s">
        <v>612</v>
      </c>
      <c r="D262" s="260" t="s">
        <v>918</v>
      </c>
      <c r="E262" s="260" t="s">
        <v>613</v>
      </c>
      <c r="F262" s="414"/>
      <c r="G262" s="429">
        <v>0</v>
      </c>
      <c r="H262" s="430">
        <v>0</v>
      </c>
      <c r="I262" s="431">
        <v>0</v>
      </c>
      <c r="J262" s="432">
        <v>0.15</v>
      </c>
      <c r="K262" s="433">
        <v>0.45945945945945943</v>
      </c>
      <c r="L262" s="434">
        <v>0.45454545454545459</v>
      </c>
      <c r="M262" s="435">
        <v>-18.0627421822089</v>
      </c>
      <c r="N262" s="420">
        <v>18.0627421822089</v>
      </c>
      <c r="T262" s="415">
        <f t="shared" si="37"/>
        <v>0</v>
      </c>
      <c r="U262" s="416">
        <f t="shared" si="38"/>
        <v>0</v>
      </c>
      <c r="V262" s="416">
        <f t="shared" si="39"/>
        <v>0</v>
      </c>
      <c r="W262" s="417">
        <f t="shared" si="40"/>
        <v>1.5789473684210468E-2</v>
      </c>
      <c r="X262" s="418">
        <f t="shared" si="41"/>
        <v>0.32432432432432423</v>
      </c>
      <c r="Y262" s="419">
        <f t="shared" si="42"/>
        <v>0.27272727272727276</v>
      </c>
      <c r="Z262" s="419">
        <f t="shared" si="43"/>
        <v>1</v>
      </c>
      <c r="AB262" s="429">
        <f t="shared" si="36"/>
        <v>0</v>
      </c>
      <c r="AC262" s="430">
        <f t="shared" si="36"/>
        <v>0</v>
      </c>
      <c r="AD262" s="430">
        <f t="shared" si="36"/>
        <v>0</v>
      </c>
      <c r="AE262" s="432">
        <f t="shared" si="36"/>
        <v>1.5789473684210468E-2</v>
      </c>
      <c r="AF262" s="433">
        <f t="shared" si="36"/>
        <v>0.32432432432432423</v>
      </c>
      <c r="AG262" s="434">
        <f t="shared" si="36"/>
        <v>0.27272727272727276</v>
      </c>
      <c r="AH262" s="434">
        <f t="shared" si="36"/>
        <v>1</v>
      </c>
    </row>
    <row r="263" spans="1:34" ht="33" customHeight="1" x14ac:dyDescent="0.35">
      <c r="A263" s="413" t="s">
        <v>575</v>
      </c>
      <c r="B263" s="260" t="s">
        <v>68</v>
      </c>
      <c r="C263" s="259" t="s">
        <v>614</v>
      </c>
      <c r="D263" s="260" t="s">
        <v>916</v>
      </c>
      <c r="E263" s="260" t="s">
        <v>615</v>
      </c>
      <c r="F263" s="414"/>
      <c r="G263" s="429">
        <v>1</v>
      </c>
      <c r="H263" s="430">
        <v>1</v>
      </c>
      <c r="I263" s="431">
        <v>0</v>
      </c>
      <c r="J263" s="432">
        <v>0.1</v>
      </c>
      <c r="K263" s="433">
        <v>0.13513513513513517</v>
      </c>
      <c r="L263" s="434">
        <v>0.27272727272727265</v>
      </c>
      <c r="M263" s="435">
        <v>73.910711558121349</v>
      </c>
      <c r="N263" s="420">
        <v>-73.910711558121349</v>
      </c>
      <c r="T263" s="415">
        <f t="shared" si="37"/>
        <v>0.25</v>
      </c>
      <c r="U263" s="416">
        <f t="shared" si="38"/>
        <v>0.25</v>
      </c>
      <c r="V263" s="416">
        <f t="shared" si="39"/>
        <v>0</v>
      </c>
      <c r="W263" s="417">
        <f t="shared" si="40"/>
        <v>-4.2105263157894784E-2</v>
      </c>
      <c r="X263" s="418">
        <f t="shared" si="41"/>
        <v>-8.1081081081081044E-2</v>
      </c>
      <c r="Y263" s="419">
        <f t="shared" si="42"/>
        <v>3.0303030303030203E-2</v>
      </c>
      <c r="Z263" s="419">
        <f t="shared" si="43"/>
        <v>0.14551504881992885</v>
      </c>
      <c r="AB263" s="429">
        <f t="shared" si="36"/>
        <v>0.25</v>
      </c>
      <c r="AC263" s="430">
        <f t="shared" si="36"/>
        <v>0.25</v>
      </c>
      <c r="AD263" s="430">
        <f t="shared" si="36"/>
        <v>0</v>
      </c>
      <c r="AE263" s="432">
        <f t="shared" si="36"/>
        <v>0</v>
      </c>
      <c r="AF263" s="433">
        <f t="shared" si="36"/>
        <v>0</v>
      </c>
      <c r="AG263" s="434">
        <f t="shared" si="36"/>
        <v>3.0303030303030203E-2</v>
      </c>
      <c r="AH263" s="434">
        <f t="shared" si="36"/>
        <v>0.14551504881992885</v>
      </c>
    </row>
    <row r="264" spans="1:34" ht="33" customHeight="1" x14ac:dyDescent="0.35">
      <c r="A264" s="413" t="s">
        <v>575</v>
      </c>
      <c r="B264" s="260" t="s">
        <v>71</v>
      </c>
      <c r="C264" s="259" t="s">
        <v>616</v>
      </c>
      <c r="D264" s="260" t="s">
        <v>918</v>
      </c>
      <c r="E264" s="260" t="s">
        <v>617</v>
      </c>
      <c r="F264" s="414"/>
      <c r="G264" s="429">
        <v>1</v>
      </c>
      <c r="H264" s="430">
        <v>0</v>
      </c>
      <c r="I264" s="431">
        <v>0</v>
      </c>
      <c r="J264" s="432">
        <v>0.05</v>
      </c>
      <c r="K264" s="433">
        <v>2.7027027027026945E-2</v>
      </c>
      <c r="L264" s="434">
        <v>9.0909090909090939E-2</v>
      </c>
      <c r="M264" s="435">
        <v>108.88304102034606</v>
      </c>
      <c r="N264" s="420">
        <v>-108.88304102034606</v>
      </c>
      <c r="T264" s="415">
        <f t="shared" si="37"/>
        <v>0.25</v>
      </c>
      <c r="U264" s="416">
        <f t="shared" si="38"/>
        <v>0</v>
      </c>
      <c r="V264" s="416">
        <f t="shared" si="39"/>
        <v>0</v>
      </c>
      <c r="W264" s="417">
        <f t="shared" si="40"/>
        <v>-0.10000000000000006</v>
      </c>
      <c r="X264" s="418">
        <f t="shared" si="41"/>
        <v>-0.21621621621621631</v>
      </c>
      <c r="Y264" s="419">
        <f t="shared" si="42"/>
        <v>-0.21212121212121207</v>
      </c>
      <c r="Z264" s="419">
        <f t="shared" si="43"/>
        <v>-0.17939749950681338</v>
      </c>
      <c r="AB264" s="429">
        <f t="shared" si="36"/>
        <v>0.25</v>
      </c>
      <c r="AC264" s="430">
        <f t="shared" si="36"/>
        <v>0</v>
      </c>
      <c r="AD264" s="430">
        <f t="shared" si="36"/>
        <v>0</v>
      </c>
      <c r="AE264" s="432">
        <f t="shared" si="36"/>
        <v>0</v>
      </c>
      <c r="AF264" s="433">
        <f t="shared" si="36"/>
        <v>0</v>
      </c>
      <c r="AG264" s="434">
        <f t="shared" si="36"/>
        <v>0</v>
      </c>
      <c r="AH264" s="434">
        <f t="shared" si="36"/>
        <v>0</v>
      </c>
    </row>
    <row r="265" spans="1:34" ht="33" customHeight="1" x14ac:dyDescent="0.35">
      <c r="A265" s="413" t="s">
        <v>575</v>
      </c>
      <c r="B265" s="260" t="s">
        <v>74</v>
      </c>
      <c r="C265" s="259" t="s">
        <v>618</v>
      </c>
      <c r="D265" s="260" t="s">
        <v>918</v>
      </c>
      <c r="E265" s="260" t="s">
        <v>619</v>
      </c>
      <c r="F265" s="414"/>
      <c r="G265" s="429">
        <v>0</v>
      </c>
      <c r="H265" s="430">
        <v>0</v>
      </c>
      <c r="I265" s="431">
        <v>0</v>
      </c>
      <c r="J265" s="432">
        <v>0.1</v>
      </c>
      <c r="K265" s="433">
        <v>0.1891891891891892</v>
      </c>
      <c r="L265" s="434">
        <v>0.21212121212121218</v>
      </c>
      <c r="M265" s="435">
        <v>111.48264608528726</v>
      </c>
      <c r="N265" s="420">
        <v>-111.48264608528726</v>
      </c>
      <c r="T265" s="415">
        <f t="shared" si="37"/>
        <v>0</v>
      </c>
      <c r="U265" s="416">
        <f t="shared" si="38"/>
        <v>0</v>
      </c>
      <c r="V265" s="416">
        <f t="shared" si="39"/>
        <v>0</v>
      </c>
      <c r="W265" s="417">
        <f t="shared" si="40"/>
        <v>-4.2105263157894784E-2</v>
      </c>
      <c r="X265" s="418">
        <f t="shared" si="41"/>
        <v>-1.3513513513513514E-2</v>
      </c>
      <c r="Y265" s="419">
        <f t="shared" si="42"/>
        <v>-5.0505050505050421E-2</v>
      </c>
      <c r="Z265" s="419">
        <f t="shared" si="43"/>
        <v>-0.20354928805740144</v>
      </c>
      <c r="AB265" s="429">
        <f t="shared" si="36"/>
        <v>0</v>
      </c>
      <c r="AC265" s="430">
        <f t="shared" si="36"/>
        <v>0</v>
      </c>
      <c r="AD265" s="430">
        <f t="shared" si="36"/>
        <v>0</v>
      </c>
      <c r="AE265" s="432">
        <f t="shared" si="36"/>
        <v>0</v>
      </c>
      <c r="AF265" s="433">
        <f t="shared" si="36"/>
        <v>0</v>
      </c>
      <c r="AG265" s="434">
        <f t="shared" si="36"/>
        <v>0</v>
      </c>
      <c r="AH265" s="434">
        <f t="shared" si="36"/>
        <v>0</v>
      </c>
    </row>
    <row r="266" spans="1:34" ht="33" customHeight="1" x14ac:dyDescent="0.35">
      <c r="A266" s="413" t="s">
        <v>575</v>
      </c>
      <c r="B266" s="260" t="s">
        <v>77</v>
      </c>
      <c r="C266" s="259" t="s">
        <v>620</v>
      </c>
      <c r="D266" s="260" t="s">
        <v>918</v>
      </c>
      <c r="E266" s="260" t="s">
        <v>621</v>
      </c>
      <c r="F266" s="414"/>
      <c r="G266" s="429">
        <v>0</v>
      </c>
      <c r="H266" s="430">
        <v>2</v>
      </c>
      <c r="I266" s="431">
        <v>0</v>
      </c>
      <c r="J266" s="432">
        <v>0.2</v>
      </c>
      <c r="K266" s="433">
        <v>0.51351351351351349</v>
      </c>
      <c r="L266" s="434">
        <v>0.5757575757575758</v>
      </c>
      <c r="M266" s="435">
        <v>85.916851548181683</v>
      </c>
      <c r="N266" s="420">
        <v>-85.916851548181683</v>
      </c>
      <c r="T266" s="415">
        <f t="shared" si="37"/>
        <v>0</v>
      </c>
      <c r="U266" s="416">
        <f t="shared" si="38"/>
        <v>0.5</v>
      </c>
      <c r="V266" s="416">
        <f t="shared" si="39"/>
        <v>0</v>
      </c>
      <c r="W266" s="417">
        <f t="shared" si="40"/>
        <v>7.3684210526315755E-2</v>
      </c>
      <c r="X266" s="418">
        <f t="shared" si="41"/>
        <v>0.39189189189189183</v>
      </c>
      <c r="Y266" s="419">
        <f t="shared" si="42"/>
        <v>0.43434343434343442</v>
      </c>
      <c r="Z266" s="419">
        <f t="shared" si="43"/>
        <v>3.397127693731207E-2</v>
      </c>
      <c r="AB266" s="429">
        <f t="shared" si="36"/>
        <v>0</v>
      </c>
      <c r="AC266" s="430">
        <f t="shared" si="36"/>
        <v>0.5</v>
      </c>
      <c r="AD266" s="430">
        <f t="shared" si="36"/>
        <v>0</v>
      </c>
      <c r="AE266" s="432">
        <f t="shared" si="36"/>
        <v>7.3684210526315755E-2</v>
      </c>
      <c r="AF266" s="433">
        <f t="shared" si="36"/>
        <v>0.39189189189189183</v>
      </c>
      <c r="AG266" s="434">
        <f t="shared" si="36"/>
        <v>0.43434343434343442</v>
      </c>
      <c r="AH266" s="434">
        <f t="shared" si="36"/>
        <v>3.397127693731207E-2</v>
      </c>
    </row>
    <row r="267" spans="1:34" ht="33" customHeight="1" x14ac:dyDescent="0.35">
      <c r="A267" s="413" t="s">
        <v>575</v>
      </c>
      <c r="B267" s="260" t="s">
        <v>80</v>
      </c>
      <c r="C267" s="259" t="s">
        <v>622</v>
      </c>
      <c r="D267" s="260" t="s">
        <v>918</v>
      </c>
      <c r="E267" s="260" t="s">
        <v>623</v>
      </c>
      <c r="F267" s="414"/>
      <c r="G267" s="429">
        <v>0</v>
      </c>
      <c r="H267" s="430">
        <v>0</v>
      </c>
      <c r="I267" s="431">
        <v>0</v>
      </c>
      <c r="J267" s="432">
        <v>0.1</v>
      </c>
      <c r="K267" s="433">
        <v>0.13513513513513517</v>
      </c>
      <c r="L267" s="434">
        <v>9.0909090909090939E-2</v>
      </c>
      <c r="M267" s="435">
        <v>152.12694125590809</v>
      </c>
      <c r="N267" s="420">
        <v>-152.12694125590809</v>
      </c>
      <c r="T267" s="415">
        <f t="shared" si="37"/>
        <v>0</v>
      </c>
      <c r="U267" s="416">
        <f t="shared" si="38"/>
        <v>0</v>
      </c>
      <c r="V267" s="416">
        <f t="shared" si="39"/>
        <v>0</v>
      </c>
      <c r="W267" s="417">
        <f t="shared" si="40"/>
        <v>-4.2105263157894784E-2</v>
      </c>
      <c r="X267" s="418">
        <f t="shared" si="41"/>
        <v>-8.1081081081081044E-2</v>
      </c>
      <c r="Y267" s="419">
        <f t="shared" si="42"/>
        <v>-0.21212121212121207</v>
      </c>
      <c r="Z267" s="419">
        <f t="shared" si="43"/>
        <v>-0.58115757786534761</v>
      </c>
      <c r="AB267" s="429">
        <f t="shared" si="36"/>
        <v>0</v>
      </c>
      <c r="AC267" s="430">
        <f t="shared" si="36"/>
        <v>0</v>
      </c>
      <c r="AD267" s="430">
        <f t="shared" si="36"/>
        <v>0</v>
      </c>
      <c r="AE267" s="432">
        <f t="shared" si="36"/>
        <v>0</v>
      </c>
      <c r="AF267" s="433">
        <f t="shared" si="36"/>
        <v>0</v>
      </c>
      <c r="AG267" s="434">
        <f t="shared" si="36"/>
        <v>0</v>
      </c>
      <c r="AH267" s="434">
        <f t="shared" si="36"/>
        <v>0</v>
      </c>
    </row>
    <row r="268" spans="1:34" ht="33" customHeight="1" x14ac:dyDescent="0.35">
      <c r="A268" s="413" t="s">
        <v>575</v>
      </c>
      <c r="B268" s="260" t="s">
        <v>83</v>
      </c>
      <c r="C268" s="259" t="s">
        <v>624</v>
      </c>
      <c r="D268" s="260" t="s">
        <v>919</v>
      </c>
      <c r="E268" s="260" t="s">
        <v>625</v>
      </c>
      <c r="F268" s="414"/>
      <c r="G268" s="429">
        <v>0</v>
      </c>
      <c r="H268" s="430">
        <v>0</v>
      </c>
      <c r="I268" s="431">
        <v>0</v>
      </c>
      <c r="J268" s="432">
        <v>0.05</v>
      </c>
      <c r="K268" s="433">
        <v>2.7027027027026945E-2</v>
      </c>
      <c r="L268" s="434">
        <v>3.0303030303030311E-2</v>
      </c>
      <c r="M268" s="435">
        <v>54.134184519059588</v>
      </c>
      <c r="N268" s="420">
        <v>-54.134184519059588</v>
      </c>
      <c r="T268" s="415">
        <f t="shared" si="37"/>
        <v>0</v>
      </c>
      <c r="U268" s="416">
        <f t="shared" si="38"/>
        <v>0</v>
      </c>
      <c r="V268" s="416">
        <f t="shared" si="39"/>
        <v>0</v>
      </c>
      <c r="W268" s="417">
        <f t="shared" si="40"/>
        <v>-0.10000000000000006</v>
      </c>
      <c r="X268" s="418">
        <f t="shared" si="41"/>
        <v>-0.21621621621621631</v>
      </c>
      <c r="Y268" s="419">
        <f t="shared" si="42"/>
        <v>-0.29292929292929293</v>
      </c>
      <c r="Z268" s="419">
        <f t="shared" si="43"/>
        <v>0.32925007294106795</v>
      </c>
      <c r="AB268" s="429">
        <f t="shared" si="36"/>
        <v>0</v>
      </c>
      <c r="AC268" s="430">
        <f t="shared" si="36"/>
        <v>0</v>
      </c>
      <c r="AD268" s="430">
        <f t="shared" si="36"/>
        <v>0</v>
      </c>
      <c r="AE268" s="432">
        <f t="shared" si="36"/>
        <v>0</v>
      </c>
      <c r="AF268" s="433">
        <f t="shared" si="36"/>
        <v>0</v>
      </c>
      <c r="AG268" s="434">
        <f t="shared" si="36"/>
        <v>0</v>
      </c>
      <c r="AH268" s="434">
        <f t="shared" si="36"/>
        <v>0.32925007294106795</v>
      </c>
    </row>
    <row r="269" spans="1:34" ht="33" customHeight="1" x14ac:dyDescent="0.35">
      <c r="A269" s="413" t="s">
        <v>575</v>
      </c>
      <c r="B269" s="260" t="s">
        <v>86</v>
      </c>
      <c r="C269" s="259" t="s">
        <v>626</v>
      </c>
      <c r="D269" s="260" t="s">
        <v>918</v>
      </c>
      <c r="E269" s="260" t="s">
        <v>627</v>
      </c>
      <c r="F269" s="414"/>
      <c r="G269" s="429">
        <v>2</v>
      </c>
      <c r="H269" s="430">
        <v>3</v>
      </c>
      <c r="I269" s="431">
        <v>3</v>
      </c>
      <c r="J269" s="432">
        <v>0.44999999999999996</v>
      </c>
      <c r="K269" s="433">
        <v>0.56756756756756754</v>
      </c>
      <c r="L269" s="434">
        <v>0.51515151515151514</v>
      </c>
      <c r="M269" s="435">
        <v>4.5462804707815074</v>
      </c>
      <c r="N269" s="420">
        <v>-4.5462804707815074</v>
      </c>
      <c r="T269" s="415">
        <f t="shared" si="37"/>
        <v>0.5</v>
      </c>
      <c r="U269" s="416">
        <f t="shared" si="38"/>
        <v>0.75</v>
      </c>
      <c r="V269" s="416">
        <f t="shared" si="39"/>
        <v>0.75</v>
      </c>
      <c r="W269" s="417">
        <f t="shared" si="40"/>
        <v>0.36315789473684207</v>
      </c>
      <c r="X269" s="418">
        <f t="shared" si="41"/>
        <v>0.45945945945945937</v>
      </c>
      <c r="Y269" s="419">
        <f t="shared" si="42"/>
        <v>0.35353535353535354</v>
      </c>
      <c r="Z269" s="419">
        <f t="shared" si="43"/>
        <v>0.78994950355552174</v>
      </c>
      <c r="AB269" s="429">
        <f t="shared" si="36"/>
        <v>0.5</v>
      </c>
      <c r="AC269" s="430">
        <f t="shared" si="36"/>
        <v>0.75</v>
      </c>
      <c r="AD269" s="430">
        <f t="shared" si="36"/>
        <v>0.75</v>
      </c>
      <c r="AE269" s="432">
        <f t="shared" si="36"/>
        <v>0.36315789473684207</v>
      </c>
      <c r="AF269" s="433">
        <f t="shared" si="36"/>
        <v>0.45945945945945937</v>
      </c>
      <c r="AG269" s="434">
        <f t="shared" si="36"/>
        <v>0.35353535353535354</v>
      </c>
      <c r="AH269" s="434">
        <f t="shared" si="36"/>
        <v>0.78994950355552174</v>
      </c>
    </row>
    <row r="270" spans="1:34" ht="33" customHeight="1" x14ac:dyDescent="0.35">
      <c r="A270" s="413" t="s">
        <v>575</v>
      </c>
      <c r="B270" s="260" t="s">
        <v>89</v>
      </c>
      <c r="C270" s="259" t="s">
        <v>628</v>
      </c>
      <c r="D270" s="260" t="s">
        <v>919</v>
      </c>
      <c r="E270" s="260" t="s">
        <v>629</v>
      </c>
      <c r="F270" s="414"/>
      <c r="G270" s="429">
        <v>0</v>
      </c>
      <c r="H270" s="430">
        <v>0</v>
      </c>
      <c r="I270" s="431">
        <v>0</v>
      </c>
      <c r="J270" s="432">
        <v>0.15</v>
      </c>
      <c r="K270" s="433">
        <v>0.13513513513513517</v>
      </c>
      <c r="L270" s="434">
        <v>0.27272727272727265</v>
      </c>
      <c r="M270" s="435">
        <v>40.528686018063084</v>
      </c>
      <c r="N270" s="420">
        <v>-40.528686018063084</v>
      </c>
      <c r="T270" s="415">
        <f t="shared" si="37"/>
        <v>0</v>
      </c>
      <c r="U270" s="416">
        <f t="shared" si="38"/>
        <v>0</v>
      </c>
      <c r="V270" s="416">
        <f t="shared" si="39"/>
        <v>0</v>
      </c>
      <c r="W270" s="417">
        <f t="shared" si="40"/>
        <v>1.5789473684210468E-2</v>
      </c>
      <c r="X270" s="418">
        <f t="shared" si="41"/>
        <v>-8.1081081081081044E-2</v>
      </c>
      <c r="Y270" s="419">
        <f t="shared" si="42"/>
        <v>3.0303030303030203E-2</v>
      </c>
      <c r="Z270" s="419">
        <f t="shared" si="43"/>
        <v>0.45565278208829091</v>
      </c>
      <c r="AB270" s="429">
        <f t="shared" si="36"/>
        <v>0</v>
      </c>
      <c r="AC270" s="430">
        <f t="shared" si="36"/>
        <v>0</v>
      </c>
      <c r="AD270" s="430">
        <f t="shared" si="36"/>
        <v>0</v>
      </c>
      <c r="AE270" s="432">
        <f t="shared" si="36"/>
        <v>1.5789473684210468E-2</v>
      </c>
      <c r="AF270" s="433">
        <f t="shared" si="36"/>
        <v>0</v>
      </c>
      <c r="AG270" s="434">
        <f t="shared" si="36"/>
        <v>3.0303030303030203E-2</v>
      </c>
      <c r="AH270" s="434">
        <f t="shared" si="36"/>
        <v>0.45565278208829091</v>
      </c>
    </row>
    <row r="271" spans="1:34" ht="33" customHeight="1" x14ac:dyDescent="0.35">
      <c r="A271" s="413" t="s">
        <v>575</v>
      </c>
      <c r="B271" s="260" t="s">
        <v>92</v>
      </c>
      <c r="C271" s="259" t="s">
        <v>630</v>
      </c>
      <c r="D271" s="260" t="s">
        <v>919</v>
      </c>
      <c r="E271" s="260" t="s">
        <v>631</v>
      </c>
      <c r="F271" s="414"/>
      <c r="G271" s="429">
        <v>0</v>
      </c>
      <c r="H271" s="430">
        <v>0</v>
      </c>
      <c r="I271" s="431">
        <v>0</v>
      </c>
      <c r="J271" s="432">
        <v>0.05</v>
      </c>
      <c r="K271" s="433">
        <v>8.1081081081080975E-2</v>
      </c>
      <c r="L271" s="434">
        <v>9.0909090909090939E-2</v>
      </c>
      <c r="M271" s="435">
        <v>69.276679070501572</v>
      </c>
      <c r="N271" s="420">
        <v>-69.276679070501572</v>
      </c>
      <c r="T271" s="415">
        <f t="shared" si="37"/>
        <v>0</v>
      </c>
      <c r="U271" s="416">
        <f t="shared" si="38"/>
        <v>0</v>
      </c>
      <c r="V271" s="416">
        <f t="shared" si="39"/>
        <v>0</v>
      </c>
      <c r="W271" s="417">
        <f t="shared" si="40"/>
        <v>-0.10000000000000006</v>
      </c>
      <c r="X271" s="418">
        <f t="shared" si="41"/>
        <v>-0.1486486486486488</v>
      </c>
      <c r="Y271" s="419">
        <f t="shared" si="42"/>
        <v>-0.21212121212121207</v>
      </c>
      <c r="Z271" s="419">
        <f t="shared" si="43"/>
        <v>0.18856780875139939</v>
      </c>
      <c r="AB271" s="429">
        <f t="shared" si="36"/>
        <v>0</v>
      </c>
      <c r="AC271" s="430">
        <f t="shared" ref="AB271:AH307" si="44">IF(U271&lt;0,0,U271)</f>
        <v>0</v>
      </c>
      <c r="AD271" s="430">
        <f t="shared" si="44"/>
        <v>0</v>
      </c>
      <c r="AE271" s="432">
        <f t="shared" si="44"/>
        <v>0</v>
      </c>
      <c r="AF271" s="433">
        <f t="shared" si="44"/>
        <v>0</v>
      </c>
      <c r="AG271" s="434">
        <f t="shared" si="44"/>
        <v>0</v>
      </c>
      <c r="AH271" s="434">
        <f t="shared" si="44"/>
        <v>0.18856780875139939</v>
      </c>
    </row>
    <row r="272" spans="1:34" ht="33" customHeight="1" x14ac:dyDescent="0.35">
      <c r="A272" s="413" t="s">
        <v>575</v>
      </c>
      <c r="B272" s="260" t="s">
        <v>95</v>
      </c>
      <c r="C272" s="259" t="s">
        <v>632</v>
      </c>
      <c r="D272" s="260" t="s">
        <v>919</v>
      </c>
      <c r="E272" s="260" t="s">
        <v>633</v>
      </c>
      <c r="F272" s="414"/>
      <c r="G272" s="429">
        <v>1</v>
      </c>
      <c r="H272" s="430">
        <v>2</v>
      </c>
      <c r="I272" s="431">
        <v>4</v>
      </c>
      <c r="J272" s="432">
        <v>0.05</v>
      </c>
      <c r="K272" s="433">
        <v>0.51351351351351349</v>
      </c>
      <c r="L272" s="434">
        <v>0.39393939393939392</v>
      </c>
      <c r="M272" s="435">
        <v>58.711523860778755</v>
      </c>
      <c r="N272" s="420">
        <v>-58.711523860778755</v>
      </c>
      <c r="T272" s="415">
        <f t="shared" si="37"/>
        <v>0.25</v>
      </c>
      <c r="U272" s="416">
        <f t="shared" si="38"/>
        <v>0.5</v>
      </c>
      <c r="V272" s="416">
        <f t="shared" si="39"/>
        <v>1</v>
      </c>
      <c r="W272" s="417">
        <f t="shared" si="40"/>
        <v>-0.10000000000000006</v>
      </c>
      <c r="X272" s="418">
        <f t="shared" si="41"/>
        <v>0.39189189189189183</v>
      </c>
      <c r="Y272" s="419">
        <f t="shared" si="42"/>
        <v>0.19191919191919191</v>
      </c>
      <c r="Z272" s="419">
        <f t="shared" si="43"/>
        <v>0.28672402412065229</v>
      </c>
      <c r="AB272" s="429">
        <f t="shared" si="44"/>
        <v>0.25</v>
      </c>
      <c r="AC272" s="430">
        <f t="shared" si="44"/>
        <v>0.5</v>
      </c>
      <c r="AD272" s="430">
        <f t="shared" si="44"/>
        <v>1</v>
      </c>
      <c r="AE272" s="432">
        <f t="shared" si="44"/>
        <v>0</v>
      </c>
      <c r="AF272" s="433">
        <f t="shared" si="44"/>
        <v>0.39189189189189183</v>
      </c>
      <c r="AG272" s="434">
        <f t="shared" si="44"/>
        <v>0.19191919191919191</v>
      </c>
      <c r="AH272" s="434">
        <f t="shared" si="44"/>
        <v>0.28672402412065229</v>
      </c>
    </row>
    <row r="273" spans="1:34" ht="33" customHeight="1" x14ac:dyDescent="0.35">
      <c r="A273" s="413" t="s">
        <v>575</v>
      </c>
      <c r="B273" s="260" t="s">
        <v>98</v>
      </c>
      <c r="C273" s="259" t="s">
        <v>634</v>
      </c>
      <c r="D273" s="260" t="s">
        <v>919</v>
      </c>
      <c r="E273" s="260" t="s">
        <v>635</v>
      </c>
      <c r="F273" s="414"/>
      <c r="G273" s="429">
        <v>0</v>
      </c>
      <c r="H273" s="430">
        <v>0</v>
      </c>
      <c r="I273" s="431">
        <v>0</v>
      </c>
      <c r="J273" s="432">
        <v>0.05</v>
      </c>
      <c r="K273" s="433">
        <v>2.7027027027026945E-2</v>
      </c>
      <c r="L273" s="434">
        <v>3.0303030303030311E-2</v>
      </c>
      <c r="M273" s="435">
        <v>80.246762015836936</v>
      </c>
      <c r="N273" s="420">
        <v>-80.246762015836936</v>
      </c>
      <c r="T273" s="415">
        <f t="shared" si="37"/>
        <v>0</v>
      </c>
      <c r="U273" s="416">
        <f t="shared" si="38"/>
        <v>0</v>
      </c>
      <c r="V273" s="416">
        <f t="shared" si="39"/>
        <v>0</v>
      </c>
      <c r="W273" s="417">
        <f t="shared" si="40"/>
        <v>-0.10000000000000006</v>
      </c>
      <c r="X273" s="418">
        <f t="shared" si="41"/>
        <v>-0.21621621621621631</v>
      </c>
      <c r="Y273" s="419">
        <f t="shared" si="42"/>
        <v>-0.29292929292929293</v>
      </c>
      <c r="Z273" s="419">
        <f t="shared" si="43"/>
        <v>8.6649587691099761E-2</v>
      </c>
      <c r="AB273" s="429">
        <f t="shared" si="44"/>
        <v>0</v>
      </c>
      <c r="AC273" s="430">
        <f t="shared" si="44"/>
        <v>0</v>
      </c>
      <c r="AD273" s="430">
        <f t="shared" si="44"/>
        <v>0</v>
      </c>
      <c r="AE273" s="432">
        <f t="shared" si="44"/>
        <v>0</v>
      </c>
      <c r="AF273" s="433">
        <f t="shared" si="44"/>
        <v>0</v>
      </c>
      <c r="AG273" s="434">
        <f t="shared" si="44"/>
        <v>0</v>
      </c>
      <c r="AH273" s="434">
        <f t="shared" si="44"/>
        <v>8.6649587691099761E-2</v>
      </c>
    </row>
    <row r="274" spans="1:34" ht="33" customHeight="1" x14ac:dyDescent="0.35">
      <c r="A274" s="413" t="s">
        <v>575</v>
      </c>
      <c r="B274" s="260" t="s">
        <v>101</v>
      </c>
      <c r="C274" s="259" t="s">
        <v>636</v>
      </c>
      <c r="D274" s="260" t="s">
        <v>918</v>
      </c>
      <c r="E274" s="260" t="s">
        <v>637</v>
      </c>
      <c r="F274" s="414"/>
      <c r="G274" s="429">
        <v>0</v>
      </c>
      <c r="H274" s="430">
        <v>0</v>
      </c>
      <c r="I274" s="431">
        <v>0</v>
      </c>
      <c r="J274" s="432">
        <v>0.05</v>
      </c>
      <c r="K274" s="433">
        <v>8.1081081081080975E-2</v>
      </c>
      <c r="L274" s="434">
        <v>0.21212121212121218</v>
      </c>
      <c r="M274" s="435">
        <v>117.65322597255765</v>
      </c>
      <c r="N274" s="420">
        <v>-117.65322597255765</v>
      </c>
      <c r="T274" s="415">
        <f t="shared" si="37"/>
        <v>0</v>
      </c>
      <c r="U274" s="416">
        <f t="shared" si="38"/>
        <v>0</v>
      </c>
      <c r="V274" s="416">
        <f t="shared" si="39"/>
        <v>0</v>
      </c>
      <c r="W274" s="417">
        <f t="shared" si="40"/>
        <v>-0.10000000000000006</v>
      </c>
      <c r="X274" s="418">
        <f t="shared" si="41"/>
        <v>-0.1486486486486488</v>
      </c>
      <c r="Y274" s="419">
        <f t="shared" si="42"/>
        <v>-5.0505050505050421E-2</v>
      </c>
      <c r="Z274" s="419">
        <f t="shared" si="43"/>
        <v>-0.26087743481389225</v>
      </c>
      <c r="AB274" s="429">
        <f t="shared" si="44"/>
        <v>0</v>
      </c>
      <c r="AC274" s="430">
        <f t="shared" si="44"/>
        <v>0</v>
      </c>
      <c r="AD274" s="430">
        <f t="shared" si="44"/>
        <v>0</v>
      </c>
      <c r="AE274" s="432">
        <f t="shared" si="44"/>
        <v>0</v>
      </c>
      <c r="AF274" s="433">
        <f t="shared" si="44"/>
        <v>0</v>
      </c>
      <c r="AG274" s="434">
        <f t="shared" si="44"/>
        <v>0</v>
      </c>
      <c r="AH274" s="434">
        <f t="shared" si="44"/>
        <v>0</v>
      </c>
    </row>
    <row r="275" spans="1:34" ht="33" customHeight="1" x14ac:dyDescent="0.35">
      <c r="A275" s="413" t="s">
        <v>575</v>
      </c>
      <c r="B275" s="260" t="s">
        <v>104</v>
      </c>
      <c r="C275" s="259" t="s">
        <v>638</v>
      </c>
      <c r="D275" s="260" t="s">
        <v>918</v>
      </c>
      <c r="E275" s="260" t="s">
        <v>639</v>
      </c>
      <c r="F275" s="414"/>
      <c r="G275" s="429">
        <v>1</v>
      </c>
      <c r="H275" s="430">
        <v>1</v>
      </c>
      <c r="I275" s="431">
        <v>1</v>
      </c>
      <c r="J275" s="432">
        <v>0.1</v>
      </c>
      <c r="K275" s="433">
        <v>0.40540540540540543</v>
      </c>
      <c r="L275" s="434">
        <v>0.39393939393939392</v>
      </c>
      <c r="M275" s="435">
        <v>115.83235632825001</v>
      </c>
      <c r="N275" s="420">
        <v>-115.83235632825001</v>
      </c>
      <c r="T275" s="415">
        <f t="shared" si="37"/>
        <v>0.25</v>
      </c>
      <c r="U275" s="416">
        <f t="shared" si="38"/>
        <v>0.25</v>
      </c>
      <c r="V275" s="416">
        <f t="shared" si="39"/>
        <v>0.25</v>
      </c>
      <c r="W275" s="417">
        <f t="shared" si="40"/>
        <v>-4.2105263157894784E-2</v>
      </c>
      <c r="X275" s="418">
        <f t="shared" si="41"/>
        <v>0.25675675675675674</v>
      </c>
      <c r="Y275" s="419">
        <f t="shared" si="42"/>
        <v>0.19191919191919191</v>
      </c>
      <c r="Z275" s="419">
        <f t="shared" si="43"/>
        <v>-0.24396053492760233</v>
      </c>
      <c r="AB275" s="429">
        <f t="shared" si="44"/>
        <v>0.25</v>
      </c>
      <c r="AC275" s="430">
        <f t="shared" si="44"/>
        <v>0.25</v>
      </c>
      <c r="AD275" s="430">
        <f t="shared" si="44"/>
        <v>0.25</v>
      </c>
      <c r="AE275" s="432">
        <f t="shared" si="44"/>
        <v>0</v>
      </c>
      <c r="AF275" s="433">
        <f t="shared" si="44"/>
        <v>0.25675675675675674</v>
      </c>
      <c r="AG275" s="434">
        <f t="shared" si="44"/>
        <v>0.19191919191919191</v>
      </c>
      <c r="AH275" s="434">
        <f t="shared" si="44"/>
        <v>0</v>
      </c>
    </row>
    <row r="276" spans="1:34" ht="33" customHeight="1" x14ac:dyDescent="0.35">
      <c r="A276" s="413" t="s">
        <v>575</v>
      </c>
      <c r="B276" s="260" t="s">
        <v>107</v>
      </c>
      <c r="C276" s="259" t="s">
        <v>640</v>
      </c>
      <c r="D276" s="260" t="s">
        <v>918</v>
      </c>
      <c r="E276" s="260" t="s">
        <v>641</v>
      </c>
      <c r="F276" s="414"/>
      <c r="G276" s="429">
        <v>0</v>
      </c>
      <c r="H276" s="430">
        <v>0</v>
      </c>
      <c r="I276" s="431">
        <v>0</v>
      </c>
      <c r="J276" s="432">
        <v>0.1</v>
      </c>
      <c r="K276" s="433">
        <v>0.13513513513513517</v>
      </c>
      <c r="L276" s="434">
        <v>0.27272727272727265</v>
      </c>
      <c r="M276" s="435">
        <v>88.637837046360488</v>
      </c>
      <c r="N276" s="420">
        <v>-88.637837046360488</v>
      </c>
      <c r="T276" s="415">
        <f t="shared" si="37"/>
        <v>0</v>
      </c>
      <c r="U276" s="416">
        <f t="shared" si="38"/>
        <v>0</v>
      </c>
      <c r="V276" s="416">
        <f t="shared" si="39"/>
        <v>0</v>
      </c>
      <c r="W276" s="417">
        <f t="shared" si="40"/>
        <v>-4.2105263157894784E-2</v>
      </c>
      <c r="X276" s="418">
        <f t="shared" si="41"/>
        <v>-8.1081081081081044E-2</v>
      </c>
      <c r="Y276" s="419">
        <f t="shared" si="42"/>
        <v>3.0303030303030203E-2</v>
      </c>
      <c r="Z276" s="419">
        <f t="shared" si="43"/>
        <v>8.691796108666501E-3</v>
      </c>
      <c r="AB276" s="429">
        <f t="shared" si="44"/>
        <v>0</v>
      </c>
      <c r="AC276" s="430">
        <f t="shared" si="44"/>
        <v>0</v>
      </c>
      <c r="AD276" s="430">
        <f t="shared" si="44"/>
        <v>0</v>
      </c>
      <c r="AE276" s="432">
        <f t="shared" si="44"/>
        <v>0</v>
      </c>
      <c r="AF276" s="433">
        <f t="shared" si="44"/>
        <v>0</v>
      </c>
      <c r="AG276" s="434">
        <f t="shared" si="44"/>
        <v>3.0303030303030203E-2</v>
      </c>
      <c r="AH276" s="434">
        <f t="shared" si="44"/>
        <v>8.691796108666501E-3</v>
      </c>
    </row>
    <row r="277" spans="1:34" ht="33" customHeight="1" x14ac:dyDescent="0.35">
      <c r="A277" s="413" t="s">
        <v>575</v>
      </c>
      <c r="B277" s="260" t="s">
        <v>110</v>
      </c>
      <c r="C277" s="259" t="s">
        <v>642</v>
      </c>
      <c r="D277" s="260" t="s">
        <v>925</v>
      </c>
      <c r="E277" s="260" t="s">
        <v>643</v>
      </c>
      <c r="F277" s="414"/>
      <c r="G277" s="429">
        <v>1</v>
      </c>
      <c r="H277" s="430">
        <v>1</v>
      </c>
      <c r="I277" s="431">
        <v>0</v>
      </c>
      <c r="J277" s="432">
        <v>0.15</v>
      </c>
      <c r="K277" s="433">
        <v>0.13513513513513517</v>
      </c>
      <c r="L277" s="434">
        <v>9.0909090909090939E-2</v>
      </c>
      <c r="M277" s="435">
        <v>114.27390661252124</v>
      </c>
      <c r="N277" s="420">
        <v>-114.27390661252124</v>
      </c>
      <c r="T277" s="415">
        <f t="shared" si="37"/>
        <v>0.25</v>
      </c>
      <c r="U277" s="416">
        <f t="shared" si="38"/>
        <v>0.25</v>
      </c>
      <c r="V277" s="416">
        <f t="shared" si="39"/>
        <v>0</v>
      </c>
      <c r="W277" s="417">
        <f t="shared" si="40"/>
        <v>1.5789473684210468E-2</v>
      </c>
      <c r="X277" s="418">
        <f t="shared" si="41"/>
        <v>-8.1081081081081044E-2</v>
      </c>
      <c r="Y277" s="419">
        <f t="shared" si="42"/>
        <v>-0.21212121212121207</v>
      </c>
      <c r="Z277" s="419">
        <f t="shared" si="43"/>
        <v>-0.22948166330644068</v>
      </c>
      <c r="AB277" s="429">
        <f t="shared" si="44"/>
        <v>0.25</v>
      </c>
      <c r="AC277" s="430">
        <f t="shared" si="44"/>
        <v>0.25</v>
      </c>
      <c r="AD277" s="430">
        <f t="shared" si="44"/>
        <v>0</v>
      </c>
      <c r="AE277" s="432">
        <f t="shared" si="44"/>
        <v>1.5789473684210468E-2</v>
      </c>
      <c r="AF277" s="433">
        <f t="shared" si="44"/>
        <v>0</v>
      </c>
      <c r="AG277" s="434">
        <f t="shared" si="44"/>
        <v>0</v>
      </c>
      <c r="AH277" s="434">
        <f t="shared" si="44"/>
        <v>0</v>
      </c>
    </row>
    <row r="278" spans="1:34" ht="33" customHeight="1" x14ac:dyDescent="0.35">
      <c r="A278" s="413" t="s">
        <v>575</v>
      </c>
      <c r="B278" s="260" t="s">
        <v>113</v>
      </c>
      <c r="C278" s="259" t="s">
        <v>644</v>
      </c>
      <c r="D278" s="260" t="s">
        <v>919</v>
      </c>
      <c r="E278" s="260" t="s">
        <v>645</v>
      </c>
      <c r="F278" s="414"/>
      <c r="G278" s="429">
        <v>0</v>
      </c>
      <c r="H278" s="430">
        <v>0</v>
      </c>
      <c r="I278" s="431">
        <v>0</v>
      </c>
      <c r="J278" s="452">
        <v>0.3</v>
      </c>
      <c r="K278" s="453">
        <v>0.25</v>
      </c>
      <c r="L278" s="454">
        <v>0.22222222222222215</v>
      </c>
      <c r="M278" s="455">
        <v>124.78689597072835</v>
      </c>
      <c r="N278" s="420">
        <v>-124.78689597072835</v>
      </c>
      <c r="T278" s="415">
        <f t="shared" si="37"/>
        <v>0</v>
      </c>
      <c r="U278" s="416">
        <f t="shared" si="38"/>
        <v>0</v>
      </c>
      <c r="V278" s="416">
        <f t="shared" si="39"/>
        <v>0</v>
      </c>
      <c r="W278" s="417">
        <f t="shared" si="40"/>
        <v>0.18947368421052627</v>
      </c>
      <c r="X278" s="418">
        <f t="shared" si="41"/>
        <v>6.2499999999999986E-2</v>
      </c>
      <c r="Y278" s="419">
        <f t="shared" si="42"/>
        <v>-3.7037037037037125E-2</v>
      </c>
      <c r="Z278" s="419">
        <f t="shared" si="43"/>
        <v>-0.32715322866775198</v>
      </c>
      <c r="AB278" s="429">
        <f t="shared" si="44"/>
        <v>0</v>
      </c>
      <c r="AC278" s="430">
        <f t="shared" si="44"/>
        <v>0</v>
      </c>
      <c r="AD278" s="430">
        <f t="shared" si="44"/>
        <v>0</v>
      </c>
      <c r="AE278" s="432">
        <f t="shared" si="44"/>
        <v>0.18947368421052627</v>
      </c>
      <c r="AF278" s="433">
        <f t="shared" si="44"/>
        <v>6.2499999999999986E-2</v>
      </c>
      <c r="AG278" s="434">
        <f t="shared" si="44"/>
        <v>0</v>
      </c>
      <c r="AH278" s="434">
        <f t="shared" si="44"/>
        <v>0</v>
      </c>
    </row>
    <row r="279" spans="1:34" ht="33" customHeight="1" x14ac:dyDescent="0.35">
      <c r="A279" s="413" t="s">
        <v>575</v>
      </c>
      <c r="B279" s="260" t="s">
        <v>116</v>
      </c>
      <c r="C279" s="259" t="s">
        <v>646</v>
      </c>
      <c r="D279" s="260" t="s">
        <v>918</v>
      </c>
      <c r="E279" s="260" t="s">
        <v>647</v>
      </c>
      <c r="F279" s="414"/>
      <c r="G279" s="429">
        <v>0</v>
      </c>
      <c r="H279" s="430">
        <v>0</v>
      </c>
      <c r="I279" s="431">
        <v>0</v>
      </c>
      <c r="J279" s="432">
        <v>0.15</v>
      </c>
      <c r="K279" s="433">
        <v>0.1891891891891892</v>
      </c>
      <c r="L279" s="434">
        <v>0.45454545454545459</v>
      </c>
      <c r="M279" s="435">
        <v>116.49570692172327</v>
      </c>
      <c r="N279" s="420">
        <v>-116.49570692172327</v>
      </c>
      <c r="T279" s="415">
        <f t="shared" si="37"/>
        <v>0</v>
      </c>
      <c r="U279" s="416">
        <f t="shared" si="38"/>
        <v>0</v>
      </c>
      <c r="V279" s="416">
        <f t="shared" si="39"/>
        <v>0</v>
      </c>
      <c r="W279" s="417">
        <f t="shared" si="40"/>
        <v>1.5789473684210468E-2</v>
      </c>
      <c r="X279" s="418">
        <f t="shared" si="41"/>
        <v>-1.3513513513513514E-2</v>
      </c>
      <c r="Y279" s="419">
        <f t="shared" si="42"/>
        <v>0.27272727272727276</v>
      </c>
      <c r="Z279" s="419">
        <f t="shared" si="43"/>
        <v>-0.25012343385580377</v>
      </c>
      <c r="AB279" s="429">
        <f t="shared" si="44"/>
        <v>0</v>
      </c>
      <c r="AC279" s="430">
        <f t="shared" si="44"/>
        <v>0</v>
      </c>
      <c r="AD279" s="430">
        <f t="shared" si="44"/>
        <v>0</v>
      </c>
      <c r="AE279" s="432">
        <f t="shared" si="44"/>
        <v>1.5789473684210468E-2</v>
      </c>
      <c r="AF279" s="433">
        <f t="shared" si="44"/>
        <v>0</v>
      </c>
      <c r="AG279" s="434">
        <f t="shared" si="44"/>
        <v>0.27272727272727276</v>
      </c>
      <c r="AH279" s="434">
        <f t="shared" si="44"/>
        <v>0</v>
      </c>
    </row>
    <row r="280" spans="1:34" ht="33" customHeight="1" x14ac:dyDescent="0.35">
      <c r="A280" s="413" t="s">
        <v>575</v>
      </c>
      <c r="B280" s="260" t="s">
        <v>119</v>
      </c>
      <c r="C280" s="259" t="s">
        <v>648</v>
      </c>
      <c r="D280" s="260" t="s">
        <v>919</v>
      </c>
      <c r="E280" s="260" t="s">
        <v>649</v>
      </c>
      <c r="F280" s="414"/>
      <c r="G280" s="429">
        <v>1</v>
      </c>
      <c r="H280" s="430">
        <v>0</v>
      </c>
      <c r="I280" s="431">
        <v>0</v>
      </c>
      <c r="J280" s="432">
        <v>0.25</v>
      </c>
      <c r="K280" s="433">
        <v>0.29729729729729726</v>
      </c>
      <c r="L280" s="434">
        <v>0.39393939393939392</v>
      </c>
      <c r="M280" s="435">
        <v>72.820326980777935</v>
      </c>
      <c r="N280" s="420">
        <v>-72.820326980777935</v>
      </c>
      <c r="T280" s="415">
        <f t="shared" si="37"/>
        <v>0.25</v>
      </c>
      <c r="U280" s="416">
        <f t="shared" si="38"/>
        <v>0</v>
      </c>
      <c r="V280" s="416">
        <f t="shared" si="39"/>
        <v>0</v>
      </c>
      <c r="W280" s="417">
        <f t="shared" si="40"/>
        <v>0.13157894736842102</v>
      </c>
      <c r="X280" s="418">
        <f t="shared" si="41"/>
        <v>0.12162162162162156</v>
      </c>
      <c r="Y280" s="419">
        <f t="shared" si="42"/>
        <v>0.19191919191919191</v>
      </c>
      <c r="Z280" s="419">
        <f t="shared" si="43"/>
        <v>0.15564533287960239</v>
      </c>
      <c r="AB280" s="429">
        <f t="shared" si="44"/>
        <v>0.25</v>
      </c>
      <c r="AC280" s="430">
        <f t="shared" si="44"/>
        <v>0</v>
      </c>
      <c r="AD280" s="430">
        <f t="shared" si="44"/>
        <v>0</v>
      </c>
      <c r="AE280" s="432">
        <f t="shared" si="44"/>
        <v>0.13157894736842102</v>
      </c>
      <c r="AF280" s="433">
        <f t="shared" si="44"/>
        <v>0.12162162162162156</v>
      </c>
      <c r="AG280" s="434">
        <f t="shared" si="44"/>
        <v>0.19191919191919191</v>
      </c>
      <c r="AH280" s="434">
        <f t="shared" si="44"/>
        <v>0.15564533287960239</v>
      </c>
    </row>
    <row r="281" spans="1:34" ht="33" customHeight="1" x14ac:dyDescent="0.35">
      <c r="A281" s="413" t="s">
        <v>575</v>
      </c>
      <c r="B281" s="260" t="s">
        <v>122</v>
      </c>
      <c r="C281" s="259" t="s">
        <v>650</v>
      </c>
      <c r="D281" s="260" t="s">
        <v>918</v>
      </c>
      <c r="E281" s="260" t="s">
        <v>651</v>
      </c>
      <c r="F281" s="414"/>
      <c r="G281" s="471">
        <v>0</v>
      </c>
      <c r="H281" s="472">
        <v>0</v>
      </c>
      <c r="I281" s="480">
        <v>1</v>
      </c>
      <c r="J281" s="432">
        <v>0</v>
      </c>
      <c r="K281" s="433">
        <v>2.7027027027026945E-2</v>
      </c>
      <c r="L281" s="434">
        <v>3.0303030303030311E-2</v>
      </c>
      <c r="M281" s="435">
        <v>119.88118503358046</v>
      </c>
      <c r="N281" s="420">
        <v>-119.88118503358046</v>
      </c>
      <c r="T281" s="415">
        <f t="shared" si="37"/>
        <v>0</v>
      </c>
      <c r="U281" s="416">
        <f t="shared" si="38"/>
        <v>0</v>
      </c>
      <c r="V281" s="416">
        <f t="shared" si="39"/>
        <v>0.25</v>
      </c>
      <c r="W281" s="417">
        <f t="shared" si="40"/>
        <v>-0.15789473684210534</v>
      </c>
      <c r="X281" s="418">
        <f t="shared" si="41"/>
        <v>-0.21621621621621631</v>
      </c>
      <c r="Y281" s="419">
        <f t="shared" si="42"/>
        <v>-0.29292929292929293</v>
      </c>
      <c r="Z281" s="419">
        <f t="shared" si="43"/>
        <v>-0.28157642362064272</v>
      </c>
      <c r="AB281" s="429">
        <f t="shared" si="44"/>
        <v>0</v>
      </c>
      <c r="AC281" s="430">
        <f t="shared" si="44"/>
        <v>0</v>
      </c>
      <c r="AD281" s="430">
        <f t="shared" si="44"/>
        <v>0.25</v>
      </c>
      <c r="AE281" s="432">
        <f t="shared" si="44"/>
        <v>0</v>
      </c>
      <c r="AF281" s="433">
        <f t="shared" si="44"/>
        <v>0</v>
      </c>
      <c r="AG281" s="434">
        <f t="shared" si="44"/>
        <v>0</v>
      </c>
      <c r="AH281" s="434">
        <f t="shared" si="44"/>
        <v>0</v>
      </c>
    </row>
    <row r="282" spans="1:34" ht="33" customHeight="1" x14ac:dyDescent="0.35">
      <c r="A282" s="413" t="s">
        <v>575</v>
      </c>
      <c r="B282" s="260" t="s">
        <v>125</v>
      </c>
      <c r="C282" s="259" t="s">
        <v>652</v>
      </c>
      <c r="D282" s="260" t="s">
        <v>938</v>
      </c>
      <c r="E282" s="260" t="s">
        <v>653</v>
      </c>
      <c r="F282" s="414"/>
      <c r="G282" s="429">
        <v>0</v>
      </c>
      <c r="H282" s="430">
        <v>0</v>
      </c>
      <c r="I282" s="431">
        <v>0</v>
      </c>
      <c r="J282" s="432">
        <v>0.1</v>
      </c>
      <c r="K282" s="433">
        <v>0.56756756756756754</v>
      </c>
      <c r="L282" s="434">
        <v>0.63636363636363635</v>
      </c>
      <c r="M282" s="435">
        <v>122.40945462213301</v>
      </c>
      <c r="N282" s="420">
        <v>-122.40945462213301</v>
      </c>
      <c r="T282" s="415">
        <f t="shared" si="37"/>
        <v>0</v>
      </c>
      <c r="U282" s="416">
        <f t="shared" si="38"/>
        <v>0</v>
      </c>
      <c r="V282" s="416">
        <f t="shared" si="39"/>
        <v>0</v>
      </c>
      <c r="W282" s="417">
        <f t="shared" si="40"/>
        <v>-4.2105263157894784E-2</v>
      </c>
      <c r="X282" s="418">
        <f t="shared" si="41"/>
        <v>0.45945945945945937</v>
      </c>
      <c r="Y282" s="419">
        <f t="shared" si="42"/>
        <v>0.51515151515151514</v>
      </c>
      <c r="Z282" s="419">
        <f t="shared" si="43"/>
        <v>-0.30506546560055764</v>
      </c>
      <c r="AB282" s="429">
        <f t="shared" si="44"/>
        <v>0</v>
      </c>
      <c r="AC282" s="430">
        <f t="shared" si="44"/>
        <v>0</v>
      </c>
      <c r="AD282" s="430">
        <f t="shared" si="44"/>
        <v>0</v>
      </c>
      <c r="AE282" s="432">
        <f t="shared" si="44"/>
        <v>0</v>
      </c>
      <c r="AF282" s="433">
        <f t="shared" si="44"/>
        <v>0.45945945945945937</v>
      </c>
      <c r="AG282" s="434">
        <f t="shared" si="44"/>
        <v>0.51515151515151514</v>
      </c>
      <c r="AH282" s="434">
        <f t="shared" si="44"/>
        <v>0</v>
      </c>
    </row>
    <row r="283" spans="1:34" ht="33" customHeight="1" x14ac:dyDescent="0.35">
      <c r="A283" s="426" t="s">
        <v>575</v>
      </c>
      <c r="B283" s="427" t="s">
        <v>128</v>
      </c>
      <c r="C283" s="428" t="s">
        <v>654</v>
      </c>
      <c r="D283" s="260" t="s">
        <v>918</v>
      </c>
      <c r="E283" s="260" t="s">
        <v>655</v>
      </c>
      <c r="F283" s="414"/>
      <c r="G283" s="429">
        <v>2</v>
      </c>
      <c r="H283" s="430">
        <v>4</v>
      </c>
      <c r="I283" s="431">
        <v>4</v>
      </c>
      <c r="J283" s="432">
        <v>0.8</v>
      </c>
      <c r="K283" s="433">
        <v>0.94594594594594594</v>
      </c>
      <c r="L283" s="434">
        <v>1</v>
      </c>
      <c r="M283" s="435">
        <v>3.6663539026807213</v>
      </c>
      <c r="N283" s="420">
        <v>-3.6663539026807213</v>
      </c>
      <c r="T283" s="415">
        <f t="shared" si="37"/>
        <v>0.5</v>
      </c>
      <c r="U283" s="416">
        <f t="shared" si="38"/>
        <v>1</v>
      </c>
      <c r="V283" s="416">
        <f t="shared" si="39"/>
        <v>1</v>
      </c>
      <c r="W283" s="417">
        <f t="shared" si="40"/>
        <v>0.768421052631579</v>
      </c>
      <c r="X283" s="418">
        <f t="shared" si="41"/>
        <v>0.93243243243243235</v>
      </c>
      <c r="Y283" s="419">
        <f t="shared" si="42"/>
        <v>1</v>
      </c>
      <c r="Z283" s="419">
        <f t="shared" si="43"/>
        <v>0.79812451471372448</v>
      </c>
      <c r="AB283" s="429">
        <f t="shared" si="44"/>
        <v>0.5</v>
      </c>
      <c r="AC283" s="430">
        <f t="shared" si="44"/>
        <v>1</v>
      </c>
      <c r="AD283" s="430">
        <f t="shared" si="44"/>
        <v>1</v>
      </c>
      <c r="AE283" s="432">
        <f t="shared" si="44"/>
        <v>0.768421052631579</v>
      </c>
      <c r="AF283" s="433">
        <f t="shared" si="44"/>
        <v>0.93243243243243235</v>
      </c>
      <c r="AG283" s="434">
        <f t="shared" si="44"/>
        <v>1</v>
      </c>
      <c r="AH283" s="434">
        <f t="shared" si="44"/>
        <v>0.79812451471372448</v>
      </c>
    </row>
    <row r="284" spans="1:34" ht="33" customHeight="1" x14ac:dyDescent="0.35">
      <c r="A284" s="413" t="s">
        <v>575</v>
      </c>
      <c r="B284" s="260" t="s">
        <v>131</v>
      </c>
      <c r="C284" s="259" t="s">
        <v>656</v>
      </c>
      <c r="D284" s="260" t="s">
        <v>918</v>
      </c>
      <c r="E284" s="260" t="s">
        <v>657</v>
      </c>
      <c r="F284" s="414"/>
      <c r="G284" s="429">
        <v>4</v>
      </c>
      <c r="H284" s="430">
        <v>4</v>
      </c>
      <c r="I284" s="431">
        <v>4</v>
      </c>
      <c r="J284" s="432">
        <v>0.56756756756756754</v>
      </c>
      <c r="K284" s="433">
        <v>0.77777777777777768</v>
      </c>
      <c r="L284" s="434">
        <v>0.75</v>
      </c>
      <c r="M284" s="476">
        <v>41.052951917224576</v>
      </c>
      <c r="N284" s="420">
        <v>-41.052951917224576</v>
      </c>
      <c r="T284" s="415">
        <f t="shared" si="37"/>
        <v>1</v>
      </c>
      <c r="U284" s="416">
        <f t="shared" si="38"/>
        <v>1</v>
      </c>
      <c r="V284" s="416">
        <f t="shared" si="39"/>
        <v>1</v>
      </c>
      <c r="W284" s="417">
        <f t="shared" si="40"/>
        <v>0.49928876244665715</v>
      </c>
      <c r="X284" s="418">
        <f t="shared" si="41"/>
        <v>0.7222222222222221</v>
      </c>
      <c r="Y284" s="419">
        <f t="shared" si="42"/>
        <v>0.66666666666666663</v>
      </c>
      <c r="Z284" s="419">
        <f t="shared" si="43"/>
        <v>0.45078205794961534</v>
      </c>
      <c r="AB284" s="429">
        <f t="shared" si="44"/>
        <v>1</v>
      </c>
      <c r="AC284" s="430">
        <f t="shared" si="44"/>
        <v>1</v>
      </c>
      <c r="AD284" s="430">
        <f t="shared" si="44"/>
        <v>1</v>
      </c>
      <c r="AE284" s="432">
        <f t="shared" si="44"/>
        <v>0.49928876244665715</v>
      </c>
      <c r="AF284" s="433">
        <f t="shared" si="44"/>
        <v>0.7222222222222221</v>
      </c>
      <c r="AG284" s="434">
        <f t="shared" si="44"/>
        <v>0.66666666666666663</v>
      </c>
      <c r="AH284" s="470">
        <f t="shared" si="44"/>
        <v>0.45078205794961534</v>
      </c>
    </row>
    <row r="285" spans="1:34" ht="33" customHeight="1" x14ac:dyDescent="0.35">
      <c r="A285" s="413" t="s">
        <v>575</v>
      </c>
      <c r="B285" s="260" t="s">
        <v>134</v>
      </c>
      <c r="C285" s="259" t="s">
        <v>658</v>
      </c>
      <c r="D285" s="260" t="s">
        <v>918</v>
      </c>
      <c r="E285" s="260" t="s">
        <v>659</v>
      </c>
      <c r="F285" s="414"/>
      <c r="G285" s="429">
        <v>0</v>
      </c>
      <c r="H285" s="430">
        <v>0</v>
      </c>
      <c r="I285" s="431">
        <v>0</v>
      </c>
      <c r="J285" s="452">
        <v>0.1</v>
      </c>
      <c r="K285" s="453">
        <v>0.15</v>
      </c>
      <c r="L285" s="454">
        <v>0.11111111111111115</v>
      </c>
      <c r="M285" s="455">
        <v>101.76903008427901</v>
      </c>
      <c r="N285" s="420">
        <v>-101.76903008427901</v>
      </c>
      <c r="T285" s="415">
        <f t="shared" si="37"/>
        <v>0</v>
      </c>
      <c r="U285" s="416">
        <f t="shared" si="38"/>
        <v>0</v>
      </c>
      <c r="V285" s="416">
        <f t="shared" si="39"/>
        <v>0</v>
      </c>
      <c r="W285" s="417">
        <f t="shared" si="40"/>
        <v>-4.2105263157894784E-2</v>
      </c>
      <c r="X285" s="418">
        <f t="shared" si="41"/>
        <v>-6.2500000000000014E-2</v>
      </c>
      <c r="Y285" s="419">
        <f t="shared" si="42"/>
        <v>-0.18518518518518512</v>
      </c>
      <c r="Z285" s="419">
        <f t="shared" si="43"/>
        <v>-0.11330434936196687</v>
      </c>
      <c r="AB285" s="429">
        <f t="shared" si="44"/>
        <v>0</v>
      </c>
      <c r="AC285" s="430">
        <f t="shared" si="44"/>
        <v>0</v>
      </c>
      <c r="AD285" s="430">
        <f t="shared" si="44"/>
        <v>0</v>
      </c>
      <c r="AE285" s="432">
        <f t="shared" si="44"/>
        <v>0</v>
      </c>
      <c r="AF285" s="433">
        <f t="shared" si="44"/>
        <v>0</v>
      </c>
      <c r="AG285" s="434">
        <f t="shared" si="44"/>
        <v>0</v>
      </c>
      <c r="AH285" s="434">
        <f t="shared" si="44"/>
        <v>0</v>
      </c>
    </row>
    <row r="286" spans="1:34" ht="33" customHeight="1" x14ac:dyDescent="0.35">
      <c r="A286" s="413" t="s">
        <v>575</v>
      </c>
      <c r="B286" s="260" t="s">
        <v>137</v>
      </c>
      <c r="C286" s="259" t="s">
        <v>660</v>
      </c>
      <c r="D286" s="260" t="s">
        <v>918</v>
      </c>
      <c r="E286" s="260" t="s">
        <v>661</v>
      </c>
      <c r="F286" s="414"/>
      <c r="G286" s="429">
        <v>1</v>
      </c>
      <c r="H286" s="430">
        <v>0</v>
      </c>
      <c r="I286" s="431">
        <v>0</v>
      </c>
      <c r="J286" s="432">
        <v>0.35135135135135132</v>
      </c>
      <c r="K286" s="433">
        <v>0.38888888888888884</v>
      </c>
      <c r="L286" s="434">
        <v>0.6875</v>
      </c>
      <c r="M286" s="435">
        <v>103.01648322627231</v>
      </c>
      <c r="N286" s="420">
        <v>-103.01648322627231</v>
      </c>
      <c r="T286" s="415">
        <f t="shared" si="37"/>
        <v>0.25</v>
      </c>
      <c r="U286" s="416">
        <f t="shared" si="38"/>
        <v>0</v>
      </c>
      <c r="V286" s="416">
        <f t="shared" si="39"/>
        <v>0</v>
      </c>
      <c r="W286" s="417">
        <f t="shared" si="40"/>
        <v>0.2489331436699857</v>
      </c>
      <c r="X286" s="418">
        <f t="shared" si="41"/>
        <v>0.23611111111111102</v>
      </c>
      <c r="Y286" s="419">
        <f t="shared" si="42"/>
        <v>0.58333333333333337</v>
      </c>
      <c r="Z286" s="419">
        <f t="shared" si="43"/>
        <v>-0.12489388844946302</v>
      </c>
      <c r="AB286" s="429">
        <f t="shared" si="44"/>
        <v>0.25</v>
      </c>
      <c r="AC286" s="430">
        <f t="shared" si="44"/>
        <v>0</v>
      </c>
      <c r="AD286" s="430">
        <f t="shared" si="44"/>
        <v>0</v>
      </c>
      <c r="AE286" s="432">
        <f t="shared" si="44"/>
        <v>0.2489331436699857</v>
      </c>
      <c r="AF286" s="433">
        <f t="shared" si="44"/>
        <v>0.23611111111111102</v>
      </c>
      <c r="AG286" s="434">
        <f t="shared" si="44"/>
        <v>0.58333333333333337</v>
      </c>
      <c r="AH286" s="434">
        <f t="shared" si="44"/>
        <v>0</v>
      </c>
    </row>
    <row r="287" spans="1:34" ht="33" customHeight="1" x14ac:dyDescent="0.35">
      <c r="A287" s="413" t="s">
        <v>575</v>
      </c>
      <c r="B287" s="260" t="s">
        <v>140</v>
      </c>
      <c r="C287" s="259" t="s">
        <v>662</v>
      </c>
      <c r="D287" s="260" t="s">
        <v>919</v>
      </c>
      <c r="E287" s="260" t="s">
        <v>663</v>
      </c>
      <c r="F287" s="414"/>
      <c r="G287" s="429">
        <v>0</v>
      </c>
      <c r="H287" s="430">
        <v>0</v>
      </c>
      <c r="I287" s="431">
        <v>0</v>
      </c>
      <c r="J287" s="452">
        <v>0.15</v>
      </c>
      <c r="K287" s="453">
        <v>0.1</v>
      </c>
      <c r="L287" s="454">
        <v>0.33333333333333343</v>
      </c>
      <c r="M287" s="455">
        <v>-3.4583022931561871</v>
      </c>
      <c r="N287" s="420">
        <v>3.4583022931561871</v>
      </c>
      <c r="T287" s="415">
        <f t="shared" si="37"/>
        <v>0</v>
      </c>
      <c r="U287" s="416">
        <f t="shared" si="38"/>
        <v>0</v>
      </c>
      <c r="V287" s="416">
        <f t="shared" si="39"/>
        <v>0</v>
      </c>
      <c r="W287" s="417">
        <f t="shared" si="40"/>
        <v>1.5789473684210468E-2</v>
      </c>
      <c r="X287" s="418">
        <f t="shared" si="41"/>
        <v>-0.125</v>
      </c>
      <c r="Y287" s="419">
        <f t="shared" si="42"/>
        <v>0.11111111111111123</v>
      </c>
      <c r="Z287" s="419">
        <f t="shared" si="43"/>
        <v>0.86431656529021539</v>
      </c>
      <c r="AB287" s="429">
        <f t="shared" si="44"/>
        <v>0</v>
      </c>
      <c r="AC287" s="430">
        <f t="shared" si="44"/>
        <v>0</v>
      </c>
      <c r="AD287" s="430">
        <f t="shared" si="44"/>
        <v>0</v>
      </c>
      <c r="AE287" s="432">
        <f t="shared" si="44"/>
        <v>1.5789473684210468E-2</v>
      </c>
      <c r="AF287" s="433">
        <f t="shared" si="44"/>
        <v>0</v>
      </c>
      <c r="AG287" s="434">
        <f t="shared" si="44"/>
        <v>0.11111111111111123</v>
      </c>
      <c r="AH287" s="434">
        <f t="shared" si="44"/>
        <v>0.86431656529021539</v>
      </c>
    </row>
    <row r="288" spans="1:34" ht="33" customHeight="1" x14ac:dyDescent="0.35">
      <c r="A288" s="413" t="s">
        <v>575</v>
      </c>
      <c r="B288" s="260" t="s">
        <v>143</v>
      </c>
      <c r="C288" s="259" t="s">
        <v>664</v>
      </c>
      <c r="D288" s="260" t="s">
        <v>918</v>
      </c>
      <c r="E288" s="260" t="s">
        <v>665</v>
      </c>
      <c r="F288" s="414"/>
      <c r="G288" s="429">
        <v>0</v>
      </c>
      <c r="H288" s="430">
        <v>0</v>
      </c>
      <c r="I288" s="431">
        <v>0</v>
      </c>
      <c r="J288" s="452">
        <v>0</v>
      </c>
      <c r="K288" s="453">
        <v>0.1</v>
      </c>
      <c r="L288" s="454">
        <v>0.16666666666666657</v>
      </c>
      <c r="M288" s="455">
        <v>109.92900916899472</v>
      </c>
      <c r="N288" s="420">
        <v>-109.92900916899472</v>
      </c>
      <c r="T288" s="415">
        <f t="shared" si="37"/>
        <v>0</v>
      </c>
      <c r="U288" s="416">
        <f t="shared" si="38"/>
        <v>0</v>
      </c>
      <c r="V288" s="416">
        <f t="shared" si="39"/>
        <v>0</v>
      </c>
      <c r="W288" s="417">
        <f t="shared" si="40"/>
        <v>-0.15789473684210534</v>
      </c>
      <c r="X288" s="418">
        <f t="shared" si="41"/>
        <v>-0.125</v>
      </c>
      <c r="Y288" s="419">
        <f t="shared" si="42"/>
        <v>-0.11111111111111123</v>
      </c>
      <c r="Z288" s="419">
        <f t="shared" si="43"/>
        <v>-0.18911513004135158</v>
      </c>
      <c r="AB288" s="429">
        <f t="shared" si="44"/>
        <v>0</v>
      </c>
      <c r="AC288" s="430">
        <f t="shared" si="44"/>
        <v>0</v>
      </c>
      <c r="AD288" s="430">
        <f t="shared" si="44"/>
        <v>0</v>
      </c>
      <c r="AE288" s="432">
        <f t="shared" si="44"/>
        <v>0</v>
      </c>
      <c r="AF288" s="433">
        <f t="shared" si="44"/>
        <v>0</v>
      </c>
      <c r="AG288" s="434">
        <f t="shared" si="44"/>
        <v>0</v>
      </c>
      <c r="AH288" s="434">
        <f t="shared" si="44"/>
        <v>0</v>
      </c>
    </row>
    <row r="289" spans="1:34" ht="33" customHeight="1" x14ac:dyDescent="0.35">
      <c r="A289" s="413" t="s">
        <v>575</v>
      </c>
      <c r="B289" s="260" t="s">
        <v>146</v>
      </c>
      <c r="C289" s="259" t="s">
        <v>666</v>
      </c>
      <c r="D289" s="260" t="s">
        <v>920</v>
      </c>
      <c r="E289" s="260" t="s">
        <v>667</v>
      </c>
      <c r="F289" s="414"/>
      <c r="G289" s="429">
        <v>1</v>
      </c>
      <c r="H289" s="430">
        <v>4</v>
      </c>
      <c r="I289" s="431">
        <v>4</v>
      </c>
      <c r="J289" s="432">
        <v>0.40540540540540543</v>
      </c>
      <c r="K289" s="433">
        <v>0.44444444444444442</v>
      </c>
      <c r="L289" s="434">
        <v>0.6875</v>
      </c>
      <c r="M289" s="435">
        <v>125.29876574126999</v>
      </c>
      <c r="N289" s="420">
        <v>-125.29876574126999</v>
      </c>
      <c r="T289" s="415">
        <f t="shared" si="37"/>
        <v>0.25</v>
      </c>
      <c r="U289" s="416">
        <f t="shared" si="38"/>
        <v>1</v>
      </c>
      <c r="V289" s="416">
        <f t="shared" si="39"/>
        <v>1</v>
      </c>
      <c r="W289" s="417">
        <f t="shared" si="40"/>
        <v>0.31152204836415365</v>
      </c>
      <c r="X289" s="418">
        <f t="shared" si="41"/>
        <v>0.30555555555555547</v>
      </c>
      <c r="Y289" s="419">
        <f t="shared" si="42"/>
        <v>0.58333333333333337</v>
      </c>
      <c r="Z289" s="419">
        <f t="shared" si="43"/>
        <v>-0.33190878582152267</v>
      </c>
      <c r="AB289" s="429">
        <f t="shared" si="44"/>
        <v>0.25</v>
      </c>
      <c r="AC289" s="430">
        <f t="shared" si="44"/>
        <v>1</v>
      </c>
      <c r="AD289" s="430">
        <f t="shared" si="44"/>
        <v>1</v>
      </c>
      <c r="AE289" s="432">
        <f t="shared" si="44"/>
        <v>0.31152204836415365</v>
      </c>
      <c r="AF289" s="433">
        <f t="shared" si="44"/>
        <v>0.30555555555555547</v>
      </c>
      <c r="AG289" s="434">
        <f t="shared" si="44"/>
        <v>0.58333333333333337</v>
      </c>
      <c r="AH289" s="434">
        <f t="shared" si="44"/>
        <v>0</v>
      </c>
    </row>
    <row r="290" spans="1:34" ht="33" customHeight="1" x14ac:dyDescent="0.35">
      <c r="A290" s="413" t="s">
        <v>575</v>
      </c>
      <c r="B290" s="260" t="s">
        <v>149</v>
      </c>
      <c r="C290" s="259" t="s">
        <v>668</v>
      </c>
      <c r="D290" s="260" t="s">
        <v>918</v>
      </c>
      <c r="E290" s="260" t="s">
        <v>669</v>
      </c>
      <c r="F290" s="414"/>
      <c r="G290" s="429">
        <v>0</v>
      </c>
      <c r="H290" s="430">
        <v>0</v>
      </c>
      <c r="I290" s="431">
        <v>0</v>
      </c>
      <c r="J290" s="432">
        <v>0.29729729729729726</v>
      </c>
      <c r="K290" s="433">
        <v>0.38888888888888884</v>
      </c>
      <c r="L290" s="434">
        <v>0.4375</v>
      </c>
      <c r="M290" s="435">
        <v>99.548453368154043</v>
      </c>
      <c r="N290" s="420">
        <v>-99.548453368154043</v>
      </c>
      <c r="T290" s="415">
        <f t="shared" si="37"/>
        <v>0</v>
      </c>
      <c r="U290" s="416">
        <f t="shared" si="38"/>
        <v>0</v>
      </c>
      <c r="V290" s="416">
        <f t="shared" si="39"/>
        <v>0</v>
      </c>
      <c r="W290" s="417">
        <f t="shared" si="40"/>
        <v>0.18634423897581784</v>
      </c>
      <c r="X290" s="418">
        <f t="shared" si="41"/>
        <v>0.23611111111111102</v>
      </c>
      <c r="Y290" s="419">
        <f t="shared" si="42"/>
        <v>0.25</v>
      </c>
      <c r="Z290" s="419">
        <f t="shared" si="43"/>
        <v>-9.2673946678310609E-2</v>
      </c>
      <c r="AB290" s="429">
        <f t="shared" si="44"/>
        <v>0</v>
      </c>
      <c r="AC290" s="430">
        <f t="shared" si="44"/>
        <v>0</v>
      </c>
      <c r="AD290" s="430">
        <f t="shared" si="44"/>
        <v>0</v>
      </c>
      <c r="AE290" s="432">
        <f t="shared" si="44"/>
        <v>0.18634423897581784</v>
      </c>
      <c r="AF290" s="433">
        <f t="shared" si="44"/>
        <v>0.23611111111111102</v>
      </c>
      <c r="AG290" s="434">
        <f t="shared" si="44"/>
        <v>0.25</v>
      </c>
      <c r="AH290" s="434">
        <f t="shared" si="44"/>
        <v>0</v>
      </c>
    </row>
    <row r="291" spans="1:34" ht="33" customHeight="1" x14ac:dyDescent="0.35">
      <c r="A291" s="413" t="s">
        <v>575</v>
      </c>
      <c r="B291" s="260" t="s">
        <v>152</v>
      </c>
      <c r="C291" s="259" t="s">
        <v>670</v>
      </c>
      <c r="D291" s="260" t="s">
        <v>919</v>
      </c>
      <c r="E291" s="260" t="s">
        <v>671</v>
      </c>
      <c r="F291" s="414"/>
      <c r="G291" s="429">
        <v>0</v>
      </c>
      <c r="H291" s="430">
        <v>0</v>
      </c>
      <c r="I291" s="431">
        <v>0</v>
      </c>
      <c r="J291" s="452">
        <v>0</v>
      </c>
      <c r="K291" s="453">
        <v>0.1875</v>
      </c>
      <c r="L291" s="454">
        <v>0.375</v>
      </c>
      <c r="M291" s="455">
        <v>-4.2309197484047969</v>
      </c>
      <c r="N291" s="420">
        <v>4.2309197484047969</v>
      </c>
      <c r="T291" s="415">
        <f t="shared" si="37"/>
        <v>0</v>
      </c>
      <c r="U291" s="416">
        <f t="shared" si="38"/>
        <v>0</v>
      </c>
      <c r="V291" s="416">
        <f t="shared" si="39"/>
        <v>0</v>
      </c>
      <c r="W291" s="417">
        <f t="shared" si="40"/>
        <v>-0.15789473684210534</v>
      </c>
      <c r="X291" s="418">
        <f t="shared" si="41"/>
        <v>-1.5625000000000014E-2</v>
      </c>
      <c r="Y291" s="419">
        <f t="shared" si="42"/>
        <v>0.16666666666666666</v>
      </c>
      <c r="Z291" s="419">
        <f t="shared" si="43"/>
        <v>0.87149461462598254</v>
      </c>
      <c r="AB291" s="429">
        <f t="shared" si="44"/>
        <v>0</v>
      </c>
      <c r="AC291" s="430">
        <f t="shared" si="44"/>
        <v>0</v>
      </c>
      <c r="AD291" s="430">
        <f t="shared" si="44"/>
        <v>0</v>
      </c>
      <c r="AE291" s="432">
        <f t="shared" si="44"/>
        <v>0</v>
      </c>
      <c r="AF291" s="433">
        <f t="shared" si="44"/>
        <v>0</v>
      </c>
      <c r="AG291" s="434">
        <f t="shared" si="44"/>
        <v>0.16666666666666666</v>
      </c>
      <c r="AH291" s="434">
        <f t="shared" si="44"/>
        <v>0.87149461462598254</v>
      </c>
    </row>
    <row r="292" spans="1:34" ht="33" customHeight="1" x14ac:dyDescent="0.35">
      <c r="A292" s="413" t="s">
        <v>575</v>
      </c>
      <c r="B292" s="260" t="s">
        <v>155</v>
      </c>
      <c r="C292" s="259" t="s">
        <v>672</v>
      </c>
      <c r="D292" s="260" t="s">
        <v>919</v>
      </c>
      <c r="E292" s="260" t="s">
        <v>673</v>
      </c>
      <c r="F292" s="414"/>
      <c r="G292" s="429">
        <v>0</v>
      </c>
      <c r="H292" s="430">
        <v>0</v>
      </c>
      <c r="I292" s="431">
        <v>0</v>
      </c>
      <c r="J292" s="452">
        <v>0</v>
      </c>
      <c r="K292" s="453">
        <v>0</v>
      </c>
      <c r="L292" s="454">
        <v>6.25E-2</v>
      </c>
      <c r="M292" s="455">
        <v>89.72467320378064</v>
      </c>
      <c r="N292" s="420">
        <v>-89.72467320378064</v>
      </c>
      <c r="T292" s="415">
        <f t="shared" si="37"/>
        <v>0</v>
      </c>
      <c r="U292" s="416">
        <f t="shared" si="38"/>
        <v>0</v>
      </c>
      <c r="V292" s="416">
        <f t="shared" si="39"/>
        <v>0</v>
      </c>
      <c r="W292" s="417">
        <f t="shared" si="40"/>
        <v>-0.15789473684210534</v>
      </c>
      <c r="X292" s="418">
        <f t="shared" si="41"/>
        <v>-0.25</v>
      </c>
      <c r="Y292" s="419">
        <f t="shared" si="42"/>
        <v>-0.25</v>
      </c>
      <c r="Z292" s="419">
        <f t="shared" si="43"/>
        <v>-1.405521140459124E-3</v>
      </c>
      <c r="AB292" s="429">
        <f t="shared" si="44"/>
        <v>0</v>
      </c>
      <c r="AC292" s="430">
        <f t="shared" si="44"/>
        <v>0</v>
      </c>
      <c r="AD292" s="430">
        <f t="shared" si="44"/>
        <v>0</v>
      </c>
      <c r="AE292" s="432">
        <f t="shared" si="44"/>
        <v>0</v>
      </c>
      <c r="AF292" s="433">
        <f t="shared" si="44"/>
        <v>0</v>
      </c>
      <c r="AG292" s="434">
        <f t="shared" si="44"/>
        <v>0</v>
      </c>
      <c r="AH292" s="434">
        <f t="shared" si="44"/>
        <v>0</v>
      </c>
    </row>
    <row r="293" spans="1:34" ht="33" customHeight="1" x14ac:dyDescent="0.35">
      <c r="A293" s="413" t="s">
        <v>575</v>
      </c>
      <c r="B293" s="260" t="s">
        <v>158</v>
      </c>
      <c r="C293" s="259" t="s">
        <v>674</v>
      </c>
      <c r="D293" s="260" t="s">
        <v>918</v>
      </c>
      <c r="E293" s="260" t="s">
        <v>675</v>
      </c>
      <c r="F293" s="414"/>
      <c r="G293" s="429">
        <v>0</v>
      </c>
      <c r="H293" s="430">
        <v>0</v>
      </c>
      <c r="I293" s="431">
        <v>0</v>
      </c>
      <c r="J293" s="432">
        <v>8.1081081081080975E-2</v>
      </c>
      <c r="K293" s="433">
        <v>0.38888888888888884</v>
      </c>
      <c r="L293" s="434">
        <v>0.625</v>
      </c>
      <c r="M293" s="435">
        <v>106.77364812848379</v>
      </c>
      <c r="N293" s="420">
        <v>-106.77364812848379</v>
      </c>
      <c r="T293" s="415">
        <f t="shared" si="37"/>
        <v>0</v>
      </c>
      <c r="U293" s="416">
        <f t="shared" si="38"/>
        <v>0</v>
      </c>
      <c r="V293" s="416">
        <f t="shared" si="39"/>
        <v>0</v>
      </c>
      <c r="W293" s="417">
        <f t="shared" si="40"/>
        <v>-6.4011379800853668E-2</v>
      </c>
      <c r="X293" s="418">
        <f t="shared" si="41"/>
        <v>0.23611111111111102</v>
      </c>
      <c r="Y293" s="419">
        <f t="shared" si="42"/>
        <v>0.5</v>
      </c>
      <c r="Z293" s="419">
        <f t="shared" si="43"/>
        <v>-0.15980005688699633</v>
      </c>
      <c r="AB293" s="429">
        <f t="shared" si="44"/>
        <v>0</v>
      </c>
      <c r="AC293" s="430">
        <f t="shared" si="44"/>
        <v>0</v>
      </c>
      <c r="AD293" s="430">
        <f t="shared" si="44"/>
        <v>0</v>
      </c>
      <c r="AE293" s="432">
        <f t="shared" si="44"/>
        <v>0</v>
      </c>
      <c r="AF293" s="433">
        <f t="shared" si="44"/>
        <v>0.23611111111111102</v>
      </c>
      <c r="AG293" s="434">
        <f t="shared" si="44"/>
        <v>0.5</v>
      </c>
      <c r="AH293" s="434">
        <f t="shared" si="44"/>
        <v>0</v>
      </c>
    </row>
    <row r="294" spans="1:34" ht="33" customHeight="1" x14ac:dyDescent="0.35">
      <c r="A294" s="413" t="s">
        <v>575</v>
      </c>
      <c r="B294" s="260" t="s">
        <v>161</v>
      </c>
      <c r="C294" s="259" t="s">
        <v>676</v>
      </c>
      <c r="D294" s="260" t="s">
        <v>918</v>
      </c>
      <c r="E294" s="260" t="s">
        <v>677</v>
      </c>
      <c r="F294" s="414"/>
      <c r="G294" s="429">
        <v>0</v>
      </c>
      <c r="H294" s="430">
        <v>0</v>
      </c>
      <c r="I294" s="431">
        <v>0</v>
      </c>
      <c r="J294" s="432">
        <v>0.13513513513513517</v>
      </c>
      <c r="K294" s="433">
        <v>0.11111111111111115</v>
      </c>
      <c r="L294" s="434">
        <v>0.25</v>
      </c>
      <c r="M294" s="435">
        <v>116.81147550845898</v>
      </c>
      <c r="N294" s="420">
        <v>-116.81147550845898</v>
      </c>
      <c r="T294" s="415">
        <f t="shared" si="37"/>
        <v>0</v>
      </c>
      <c r="U294" s="416">
        <f t="shared" si="38"/>
        <v>0</v>
      </c>
      <c r="V294" s="416">
        <f t="shared" si="39"/>
        <v>0</v>
      </c>
      <c r="W294" s="417">
        <f t="shared" si="40"/>
        <v>-1.422475106685645E-3</v>
      </c>
      <c r="X294" s="418">
        <f t="shared" si="41"/>
        <v>-0.11111111111111108</v>
      </c>
      <c r="Y294" s="419">
        <f t="shared" si="42"/>
        <v>0</v>
      </c>
      <c r="Z294" s="419">
        <f t="shared" si="43"/>
        <v>-0.25305710106572338</v>
      </c>
      <c r="AB294" s="429">
        <f t="shared" si="44"/>
        <v>0</v>
      </c>
      <c r="AC294" s="430">
        <f t="shared" si="44"/>
        <v>0</v>
      </c>
      <c r="AD294" s="430">
        <f t="shared" si="44"/>
        <v>0</v>
      </c>
      <c r="AE294" s="432">
        <f t="shared" si="44"/>
        <v>0</v>
      </c>
      <c r="AF294" s="433">
        <f t="shared" si="44"/>
        <v>0</v>
      </c>
      <c r="AG294" s="434">
        <f t="shared" si="44"/>
        <v>0</v>
      </c>
      <c r="AH294" s="434">
        <f t="shared" si="44"/>
        <v>0</v>
      </c>
    </row>
    <row r="295" spans="1:34" ht="33" customHeight="1" x14ac:dyDescent="0.35">
      <c r="A295" s="413" t="s">
        <v>575</v>
      </c>
      <c r="B295" s="260" t="s">
        <v>164</v>
      </c>
      <c r="C295" s="259" t="s">
        <v>678</v>
      </c>
      <c r="D295" s="260" t="s">
        <v>918</v>
      </c>
      <c r="E295" s="260" t="s">
        <v>679</v>
      </c>
      <c r="F295" s="414"/>
      <c r="G295" s="429">
        <v>0</v>
      </c>
      <c r="H295" s="430">
        <v>1</v>
      </c>
      <c r="I295" s="431">
        <v>2</v>
      </c>
      <c r="J295" s="432">
        <v>0.45945945945945943</v>
      </c>
      <c r="K295" s="433">
        <v>0.77777777777777768</v>
      </c>
      <c r="L295" s="434">
        <v>0.9375</v>
      </c>
      <c r="M295" s="463">
        <v>73.980523432744945</v>
      </c>
      <c r="N295" s="420">
        <v>-73.980523432744945</v>
      </c>
      <c r="T295" s="415">
        <f t="shared" si="37"/>
        <v>0</v>
      </c>
      <c r="U295" s="416">
        <f t="shared" si="38"/>
        <v>0.25</v>
      </c>
      <c r="V295" s="416">
        <f t="shared" si="39"/>
        <v>0.5</v>
      </c>
      <c r="W295" s="417">
        <f t="shared" si="40"/>
        <v>0.37411095305832143</v>
      </c>
      <c r="X295" s="418">
        <f t="shared" si="41"/>
        <v>0.7222222222222221</v>
      </c>
      <c r="Y295" s="419">
        <f t="shared" si="42"/>
        <v>0.91666666666666663</v>
      </c>
      <c r="Z295" s="419">
        <f t="shared" si="43"/>
        <v>0.14486645736387727</v>
      </c>
      <c r="AB295" s="429">
        <f t="shared" si="44"/>
        <v>0</v>
      </c>
      <c r="AC295" s="430">
        <f t="shared" si="44"/>
        <v>0.25</v>
      </c>
      <c r="AD295" s="430">
        <f t="shared" si="44"/>
        <v>0.5</v>
      </c>
      <c r="AE295" s="432">
        <f t="shared" si="44"/>
        <v>0.37411095305832143</v>
      </c>
      <c r="AF295" s="433">
        <f t="shared" si="44"/>
        <v>0.7222222222222221</v>
      </c>
      <c r="AG295" s="434">
        <f t="shared" si="44"/>
        <v>0.91666666666666663</v>
      </c>
      <c r="AH295" s="434">
        <f t="shared" si="44"/>
        <v>0.14486645736387727</v>
      </c>
    </row>
    <row r="296" spans="1:34" ht="33" customHeight="1" x14ac:dyDescent="0.35">
      <c r="A296" s="413" t="s">
        <v>575</v>
      </c>
      <c r="B296" s="260" t="s">
        <v>167</v>
      </c>
      <c r="C296" s="259" t="s">
        <v>680</v>
      </c>
      <c r="D296" s="260" t="s">
        <v>918</v>
      </c>
      <c r="E296" s="260" t="s">
        <v>681</v>
      </c>
      <c r="F296" s="414"/>
      <c r="G296" s="429">
        <v>0</v>
      </c>
      <c r="H296" s="430">
        <v>0</v>
      </c>
      <c r="I296" s="431">
        <v>0</v>
      </c>
      <c r="J296" s="432">
        <v>8.1081081081080975E-2</v>
      </c>
      <c r="K296" s="433">
        <v>0.38888888888888884</v>
      </c>
      <c r="L296" s="434">
        <v>0.625</v>
      </c>
      <c r="M296" s="435">
        <v>69.674836257754748</v>
      </c>
      <c r="N296" s="420">
        <v>-69.674836257754748</v>
      </c>
      <c r="T296" s="415">
        <f t="shared" si="37"/>
        <v>0</v>
      </c>
      <c r="U296" s="416">
        <f t="shared" si="38"/>
        <v>0</v>
      </c>
      <c r="V296" s="416">
        <f t="shared" si="39"/>
        <v>0</v>
      </c>
      <c r="W296" s="417">
        <f t="shared" si="40"/>
        <v>-6.4011379800853668E-2</v>
      </c>
      <c r="X296" s="418">
        <f t="shared" si="41"/>
        <v>0.23611111111111102</v>
      </c>
      <c r="Y296" s="419">
        <f t="shared" si="42"/>
        <v>0.5</v>
      </c>
      <c r="Z296" s="419">
        <f t="shared" si="43"/>
        <v>0.18486870525059393</v>
      </c>
      <c r="AB296" s="429">
        <f t="shared" si="44"/>
        <v>0</v>
      </c>
      <c r="AC296" s="430">
        <f t="shared" si="44"/>
        <v>0</v>
      </c>
      <c r="AD296" s="430">
        <f t="shared" si="44"/>
        <v>0</v>
      </c>
      <c r="AE296" s="432">
        <f t="shared" si="44"/>
        <v>0</v>
      </c>
      <c r="AF296" s="433">
        <f t="shared" si="44"/>
        <v>0.23611111111111102</v>
      </c>
      <c r="AG296" s="434">
        <f t="shared" si="44"/>
        <v>0.5</v>
      </c>
      <c r="AH296" s="434">
        <f t="shared" si="44"/>
        <v>0.18486870525059393</v>
      </c>
    </row>
    <row r="297" spans="1:34" ht="33" customHeight="1" x14ac:dyDescent="0.35">
      <c r="A297" s="413" t="s">
        <v>575</v>
      </c>
      <c r="B297" s="260" t="s">
        <v>170</v>
      </c>
      <c r="C297" s="259" t="s">
        <v>682</v>
      </c>
      <c r="D297" s="260" t="s">
        <v>918</v>
      </c>
      <c r="E297" s="260" t="s">
        <v>683</v>
      </c>
      <c r="F297" s="414"/>
      <c r="G297" s="429">
        <v>2</v>
      </c>
      <c r="H297" s="430">
        <v>2</v>
      </c>
      <c r="I297" s="431">
        <v>4</v>
      </c>
      <c r="J297" s="432">
        <v>2.7027027027026945E-2</v>
      </c>
      <c r="K297" s="433">
        <v>0.33333333333333343</v>
      </c>
      <c r="L297" s="434">
        <v>0.5</v>
      </c>
      <c r="M297" s="463">
        <v>113.23797930614728</v>
      </c>
      <c r="N297" s="420">
        <v>-113.23797930614728</v>
      </c>
      <c r="T297" s="415">
        <f t="shared" si="37"/>
        <v>0.5</v>
      </c>
      <c r="U297" s="416">
        <f t="shared" si="38"/>
        <v>0.5</v>
      </c>
      <c r="V297" s="416">
        <f t="shared" si="39"/>
        <v>1</v>
      </c>
      <c r="W297" s="417">
        <f t="shared" si="40"/>
        <v>-0.1266002844950215</v>
      </c>
      <c r="X297" s="418">
        <f t="shared" si="41"/>
        <v>0.16666666666666677</v>
      </c>
      <c r="Y297" s="419">
        <f t="shared" si="42"/>
        <v>0.33333333333333331</v>
      </c>
      <c r="Z297" s="419">
        <f t="shared" si="43"/>
        <v>-0.21985731782614359</v>
      </c>
      <c r="AB297" s="429">
        <f t="shared" si="44"/>
        <v>0.5</v>
      </c>
      <c r="AC297" s="430">
        <f t="shared" si="44"/>
        <v>0.5</v>
      </c>
      <c r="AD297" s="430">
        <f t="shared" si="44"/>
        <v>1</v>
      </c>
      <c r="AE297" s="432">
        <f t="shared" si="44"/>
        <v>0</v>
      </c>
      <c r="AF297" s="433">
        <f t="shared" si="44"/>
        <v>0.16666666666666677</v>
      </c>
      <c r="AG297" s="434">
        <f t="shared" si="44"/>
        <v>0.33333333333333331</v>
      </c>
      <c r="AH297" s="434">
        <f t="shared" si="44"/>
        <v>0</v>
      </c>
    </row>
    <row r="298" spans="1:34" ht="33" customHeight="1" x14ac:dyDescent="0.35">
      <c r="A298" s="413" t="s">
        <v>575</v>
      </c>
      <c r="B298" s="260" t="s">
        <v>173</v>
      </c>
      <c r="C298" s="259" t="s">
        <v>684</v>
      </c>
      <c r="D298" s="260" t="s">
        <v>918</v>
      </c>
      <c r="E298" s="260" t="s">
        <v>685</v>
      </c>
      <c r="F298" s="414"/>
      <c r="G298" s="429">
        <v>2</v>
      </c>
      <c r="H298" s="430">
        <v>4</v>
      </c>
      <c r="I298" s="431">
        <v>4</v>
      </c>
      <c r="J298" s="432">
        <v>0.78378378378378388</v>
      </c>
      <c r="K298" s="433">
        <v>0.94444444444444442</v>
      </c>
      <c r="L298" s="434">
        <v>1</v>
      </c>
      <c r="M298" s="463">
        <v>60.468654899573949</v>
      </c>
      <c r="N298" s="420">
        <v>-60.468654899573949</v>
      </c>
      <c r="T298" s="415">
        <f t="shared" si="37"/>
        <v>0.5</v>
      </c>
      <c r="U298" s="416">
        <f t="shared" si="38"/>
        <v>1</v>
      </c>
      <c r="V298" s="416">
        <f t="shared" si="39"/>
        <v>1</v>
      </c>
      <c r="W298" s="417">
        <f t="shared" si="40"/>
        <v>0.74964438122332877</v>
      </c>
      <c r="X298" s="418">
        <f t="shared" si="41"/>
        <v>0.93055555555555558</v>
      </c>
      <c r="Y298" s="419">
        <f t="shared" si="42"/>
        <v>1</v>
      </c>
      <c r="Z298" s="419">
        <f t="shared" si="43"/>
        <v>0.27039929161532594</v>
      </c>
      <c r="AB298" s="429">
        <f t="shared" si="44"/>
        <v>0.5</v>
      </c>
      <c r="AC298" s="430">
        <f t="shared" si="44"/>
        <v>1</v>
      </c>
      <c r="AD298" s="430">
        <f t="shared" si="44"/>
        <v>1</v>
      </c>
      <c r="AE298" s="432">
        <f t="shared" si="44"/>
        <v>0.74964438122332877</v>
      </c>
      <c r="AF298" s="433">
        <f t="shared" si="44"/>
        <v>0.93055555555555558</v>
      </c>
      <c r="AG298" s="434">
        <f t="shared" si="44"/>
        <v>1</v>
      </c>
      <c r="AH298" s="434">
        <f t="shared" si="44"/>
        <v>0.27039929161532594</v>
      </c>
    </row>
    <row r="299" spans="1:34" ht="33" customHeight="1" x14ac:dyDescent="0.35">
      <c r="A299" s="413" t="s">
        <v>575</v>
      </c>
      <c r="B299" s="260" t="s">
        <v>176</v>
      </c>
      <c r="C299" s="259" t="s">
        <v>686</v>
      </c>
      <c r="D299" s="260" t="s">
        <v>918</v>
      </c>
      <c r="E299" s="260" t="s">
        <v>687</v>
      </c>
      <c r="F299" s="414"/>
      <c r="G299" s="429">
        <v>0</v>
      </c>
      <c r="H299" s="430">
        <v>0</v>
      </c>
      <c r="I299" s="431">
        <v>0</v>
      </c>
      <c r="J299" s="452">
        <v>0</v>
      </c>
      <c r="K299" s="453">
        <v>0.2</v>
      </c>
      <c r="L299" s="454">
        <v>0.55555555555555558</v>
      </c>
      <c r="M299" s="455">
        <v>105.86729194991993</v>
      </c>
      <c r="N299" s="420">
        <v>-105.86729194991993</v>
      </c>
      <c r="T299" s="415">
        <f t="shared" si="37"/>
        <v>0</v>
      </c>
      <c r="U299" s="416">
        <f t="shared" si="38"/>
        <v>0</v>
      </c>
      <c r="V299" s="416">
        <f t="shared" si="39"/>
        <v>0</v>
      </c>
      <c r="W299" s="417">
        <f t="shared" si="40"/>
        <v>-0.15789473684210534</v>
      </c>
      <c r="X299" s="418">
        <f t="shared" si="41"/>
        <v>0</v>
      </c>
      <c r="Y299" s="419">
        <f t="shared" si="42"/>
        <v>0.40740740740740744</v>
      </c>
      <c r="Z299" s="419">
        <f t="shared" si="43"/>
        <v>-0.15137949982953869</v>
      </c>
      <c r="AB299" s="429">
        <f t="shared" si="44"/>
        <v>0</v>
      </c>
      <c r="AC299" s="430">
        <f t="shared" si="44"/>
        <v>0</v>
      </c>
      <c r="AD299" s="430">
        <f t="shared" si="44"/>
        <v>0</v>
      </c>
      <c r="AE299" s="432">
        <f t="shared" si="44"/>
        <v>0</v>
      </c>
      <c r="AF299" s="433">
        <f t="shared" si="44"/>
        <v>0</v>
      </c>
      <c r="AG299" s="434">
        <f t="shared" si="44"/>
        <v>0.40740740740740744</v>
      </c>
      <c r="AH299" s="434">
        <f t="shared" si="44"/>
        <v>0</v>
      </c>
    </row>
    <row r="300" spans="1:34" ht="33" customHeight="1" x14ac:dyDescent="0.35">
      <c r="A300" s="413" t="s">
        <v>575</v>
      </c>
      <c r="B300" s="260" t="s">
        <v>179</v>
      </c>
      <c r="C300" s="259" t="s">
        <v>688</v>
      </c>
      <c r="D300" s="260" t="s">
        <v>925</v>
      </c>
      <c r="E300" s="260" t="s">
        <v>689</v>
      </c>
      <c r="F300" s="414"/>
      <c r="G300" s="429">
        <v>0</v>
      </c>
      <c r="H300" s="430">
        <v>0</v>
      </c>
      <c r="I300" s="431">
        <v>0</v>
      </c>
      <c r="J300" s="452">
        <v>0.11111111111111115</v>
      </c>
      <c r="K300" s="453">
        <v>0.3125</v>
      </c>
      <c r="L300" s="481">
        <v>0.875</v>
      </c>
      <c r="M300" s="482">
        <v>33.691370263139788</v>
      </c>
      <c r="N300" s="420">
        <v>-33.691370263139788</v>
      </c>
      <c r="T300" s="415">
        <f t="shared" si="37"/>
        <v>0</v>
      </c>
      <c r="U300" s="416">
        <f t="shared" si="38"/>
        <v>0</v>
      </c>
      <c r="V300" s="416">
        <f t="shared" si="39"/>
        <v>0</v>
      </c>
      <c r="W300" s="417">
        <f t="shared" si="40"/>
        <v>-2.9239766081871361E-2</v>
      </c>
      <c r="X300" s="418">
        <f t="shared" si="41"/>
        <v>0.14062499999999997</v>
      </c>
      <c r="Y300" s="419">
        <f t="shared" si="42"/>
        <v>0.83333333333333337</v>
      </c>
      <c r="Z300" s="419">
        <f t="shared" si="43"/>
        <v>0.51917527886810344</v>
      </c>
      <c r="AB300" s="429">
        <f t="shared" si="44"/>
        <v>0</v>
      </c>
      <c r="AC300" s="430">
        <f t="shared" si="44"/>
        <v>0</v>
      </c>
      <c r="AD300" s="430">
        <f t="shared" si="44"/>
        <v>0</v>
      </c>
      <c r="AE300" s="432">
        <f t="shared" si="44"/>
        <v>0</v>
      </c>
      <c r="AF300" s="433">
        <f t="shared" si="44"/>
        <v>0.14062499999999997</v>
      </c>
      <c r="AG300" s="434">
        <f t="shared" si="44"/>
        <v>0.83333333333333337</v>
      </c>
      <c r="AH300" s="434">
        <f t="shared" si="44"/>
        <v>0.51917527886810344</v>
      </c>
    </row>
    <row r="301" spans="1:34" ht="33" customHeight="1" x14ac:dyDescent="0.35">
      <c r="A301" s="413" t="s">
        <v>575</v>
      </c>
      <c r="B301" s="260" t="s">
        <v>182</v>
      </c>
      <c r="C301" s="259" t="s">
        <v>690</v>
      </c>
      <c r="D301" s="260" t="s">
        <v>919</v>
      </c>
      <c r="E301" s="260" t="s">
        <v>691</v>
      </c>
      <c r="F301" s="414"/>
      <c r="G301" s="429">
        <v>0</v>
      </c>
      <c r="H301" s="430">
        <v>0</v>
      </c>
      <c r="I301" s="431">
        <v>0</v>
      </c>
      <c r="J301" s="432">
        <v>0.35135135135135132</v>
      </c>
      <c r="K301" s="433">
        <v>0.33333333333333343</v>
      </c>
      <c r="L301" s="434">
        <v>0.3125</v>
      </c>
      <c r="M301" s="435">
        <v>88.09513273027865</v>
      </c>
      <c r="N301" s="420">
        <v>-88.09513273027865</v>
      </c>
      <c r="T301" s="415">
        <f t="shared" si="37"/>
        <v>0</v>
      </c>
      <c r="U301" s="416">
        <f t="shared" si="38"/>
        <v>0</v>
      </c>
      <c r="V301" s="416">
        <f t="shared" si="39"/>
        <v>0</v>
      </c>
      <c r="W301" s="417">
        <f t="shared" si="40"/>
        <v>0.2489331436699857</v>
      </c>
      <c r="X301" s="418">
        <f t="shared" si="41"/>
        <v>0.16666666666666677</v>
      </c>
      <c r="Y301" s="419">
        <f t="shared" si="42"/>
        <v>8.3333333333333329E-2</v>
      </c>
      <c r="Z301" s="419">
        <f t="shared" si="43"/>
        <v>1.373382347823409E-2</v>
      </c>
      <c r="AB301" s="429">
        <f t="shared" si="44"/>
        <v>0</v>
      </c>
      <c r="AC301" s="430">
        <f t="shared" si="44"/>
        <v>0</v>
      </c>
      <c r="AD301" s="430">
        <f t="shared" si="44"/>
        <v>0</v>
      </c>
      <c r="AE301" s="432">
        <f t="shared" si="44"/>
        <v>0.2489331436699857</v>
      </c>
      <c r="AF301" s="433">
        <f t="shared" si="44"/>
        <v>0.16666666666666677</v>
      </c>
      <c r="AG301" s="434">
        <f t="shared" si="44"/>
        <v>8.3333333333333329E-2</v>
      </c>
      <c r="AH301" s="434">
        <f t="shared" si="44"/>
        <v>1.373382347823409E-2</v>
      </c>
    </row>
    <row r="302" spans="1:34" ht="33" customHeight="1" x14ac:dyDescent="0.35">
      <c r="A302" s="413" t="s">
        <v>575</v>
      </c>
      <c r="B302" s="260" t="s">
        <v>185</v>
      </c>
      <c r="C302" s="259" t="s">
        <v>692</v>
      </c>
      <c r="D302" s="260" t="s">
        <v>919</v>
      </c>
      <c r="E302" s="260" t="s">
        <v>693</v>
      </c>
      <c r="F302" s="414"/>
      <c r="G302" s="429">
        <v>1</v>
      </c>
      <c r="H302" s="430">
        <v>0</v>
      </c>
      <c r="I302" s="431">
        <v>0</v>
      </c>
      <c r="J302" s="432">
        <v>0.24324324324324323</v>
      </c>
      <c r="K302" s="433">
        <v>0.27777777777777785</v>
      </c>
      <c r="L302" s="434">
        <v>0.5</v>
      </c>
      <c r="M302" s="435">
        <v>77.191409316152146</v>
      </c>
      <c r="N302" s="420">
        <v>-77.191409316152146</v>
      </c>
      <c r="T302" s="415">
        <f t="shared" si="37"/>
        <v>0.25</v>
      </c>
      <c r="U302" s="416">
        <f t="shared" si="38"/>
        <v>0</v>
      </c>
      <c r="V302" s="416">
        <f t="shared" si="39"/>
        <v>0</v>
      </c>
      <c r="W302" s="417">
        <f t="shared" si="40"/>
        <v>0.12375533428165002</v>
      </c>
      <c r="X302" s="418">
        <f t="shared" si="41"/>
        <v>9.7222222222222293E-2</v>
      </c>
      <c r="Y302" s="419">
        <f t="shared" si="42"/>
        <v>0.33333333333333331</v>
      </c>
      <c r="Z302" s="419">
        <f t="shared" si="43"/>
        <v>0.1150355272883995</v>
      </c>
      <c r="AB302" s="429">
        <f t="shared" si="44"/>
        <v>0.25</v>
      </c>
      <c r="AC302" s="430">
        <f t="shared" si="44"/>
        <v>0</v>
      </c>
      <c r="AD302" s="430">
        <f t="shared" si="44"/>
        <v>0</v>
      </c>
      <c r="AE302" s="432">
        <f t="shared" si="44"/>
        <v>0.12375533428165002</v>
      </c>
      <c r="AF302" s="433">
        <f t="shared" si="44"/>
        <v>9.7222222222222293E-2</v>
      </c>
      <c r="AG302" s="434">
        <f t="shared" si="44"/>
        <v>0.33333333333333331</v>
      </c>
      <c r="AH302" s="434">
        <f t="shared" si="44"/>
        <v>0.1150355272883995</v>
      </c>
    </row>
    <row r="303" spans="1:34" ht="33" customHeight="1" x14ac:dyDescent="0.35">
      <c r="A303" s="426" t="s">
        <v>575</v>
      </c>
      <c r="B303" s="427" t="s">
        <v>188</v>
      </c>
      <c r="C303" s="428" t="s">
        <v>694</v>
      </c>
      <c r="D303" s="260" t="s">
        <v>916</v>
      </c>
      <c r="E303" s="260" t="s">
        <v>695</v>
      </c>
      <c r="F303" s="414"/>
      <c r="G303" s="429">
        <v>3</v>
      </c>
      <c r="H303" s="430">
        <v>3</v>
      </c>
      <c r="I303" s="431">
        <v>3</v>
      </c>
      <c r="J303" s="432">
        <v>1</v>
      </c>
      <c r="K303" s="433">
        <v>1</v>
      </c>
      <c r="L303" s="434">
        <v>1</v>
      </c>
      <c r="M303" s="435">
        <v>5.1995160281516011</v>
      </c>
      <c r="N303" s="420">
        <v>-5.1995160281516011</v>
      </c>
      <c r="T303" s="415">
        <f t="shared" si="37"/>
        <v>0.75</v>
      </c>
      <c r="U303" s="416">
        <f t="shared" si="38"/>
        <v>0.75</v>
      </c>
      <c r="V303" s="416">
        <f t="shared" si="39"/>
        <v>0.75</v>
      </c>
      <c r="W303" s="417">
        <f t="shared" si="40"/>
        <v>1</v>
      </c>
      <c r="X303" s="418">
        <f t="shared" si="41"/>
        <v>1</v>
      </c>
      <c r="Y303" s="419">
        <f t="shared" si="42"/>
        <v>1</v>
      </c>
      <c r="Z303" s="419">
        <f t="shared" si="43"/>
        <v>0.78388057898382524</v>
      </c>
      <c r="AB303" s="429">
        <f t="shared" si="44"/>
        <v>0.75</v>
      </c>
      <c r="AC303" s="430">
        <f t="shared" si="44"/>
        <v>0.75</v>
      </c>
      <c r="AD303" s="430">
        <f t="shared" si="44"/>
        <v>0.75</v>
      </c>
      <c r="AE303" s="432">
        <f t="shared" si="44"/>
        <v>1</v>
      </c>
      <c r="AF303" s="433">
        <f t="shared" si="44"/>
        <v>1</v>
      </c>
      <c r="AG303" s="434">
        <f t="shared" si="44"/>
        <v>1</v>
      </c>
      <c r="AH303" s="434">
        <f t="shared" si="44"/>
        <v>0.78388057898382524</v>
      </c>
    </row>
    <row r="304" spans="1:34" ht="33" customHeight="1" x14ac:dyDescent="0.35">
      <c r="A304" s="413" t="s">
        <v>575</v>
      </c>
      <c r="B304" s="260" t="s">
        <v>191</v>
      </c>
      <c r="C304" s="259" t="s">
        <v>696</v>
      </c>
      <c r="D304" s="260" t="s">
        <v>918</v>
      </c>
      <c r="E304" s="260" t="s">
        <v>697</v>
      </c>
      <c r="F304" s="414"/>
      <c r="G304" s="429">
        <v>1</v>
      </c>
      <c r="H304" s="430">
        <v>0</v>
      </c>
      <c r="I304" s="431">
        <v>1</v>
      </c>
      <c r="J304" s="432">
        <v>0.40540540540540543</v>
      </c>
      <c r="K304" s="433">
        <v>0.44444444444444442</v>
      </c>
      <c r="L304" s="434">
        <v>0.5625</v>
      </c>
      <c r="M304" s="435">
        <v>113.88484480047376</v>
      </c>
      <c r="N304" s="420">
        <v>-113.88484480047376</v>
      </c>
      <c r="T304" s="415">
        <f t="shared" si="37"/>
        <v>0.25</v>
      </c>
      <c r="U304" s="416">
        <f t="shared" si="38"/>
        <v>0</v>
      </c>
      <c r="V304" s="416">
        <f t="shared" si="39"/>
        <v>0.25</v>
      </c>
      <c r="W304" s="417">
        <f t="shared" si="40"/>
        <v>0.31152204836415365</v>
      </c>
      <c r="X304" s="418">
        <f t="shared" si="41"/>
        <v>0.30555555555555547</v>
      </c>
      <c r="Y304" s="419">
        <f t="shared" si="42"/>
        <v>0.41666666666666669</v>
      </c>
      <c r="Z304" s="419">
        <f t="shared" si="43"/>
        <v>-0.22586706094071859</v>
      </c>
      <c r="AB304" s="429">
        <f t="shared" si="44"/>
        <v>0.25</v>
      </c>
      <c r="AC304" s="430">
        <f t="shared" si="44"/>
        <v>0</v>
      </c>
      <c r="AD304" s="430">
        <f t="shared" si="44"/>
        <v>0.25</v>
      </c>
      <c r="AE304" s="432">
        <f t="shared" si="44"/>
        <v>0.31152204836415365</v>
      </c>
      <c r="AF304" s="433">
        <f t="shared" si="44"/>
        <v>0.30555555555555547</v>
      </c>
      <c r="AG304" s="434">
        <f t="shared" si="44"/>
        <v>0.41666666666666669</v>
      </c>
      <c r="AH304" s="434">
        <f t="shared" si="44"/>
        <v>0</v>
      </c>
    </row>
    <row r="305" spans="1:34" ht="33" customHeight="1" x14ac:dyDescent="0.35">
      <c r="A305" s="413" t="s">
        <v>575</v>
      </c>
      <c r="B305" s="260" t="s">
        <v>194</v>
      </c>
      <c r="C305" s="259" t="s">
        <v>698</v>
      </c>
      <c r="D305" s="260" t="s">
        <v>918</v>
      </c>
      <c r="E305" s="260" t="s">
        <v>699</v>
      </c>
      <c r="F305" s="414"/>
      <c r="G305" s="429">
        <v>2</v>
      </c>
      <c r="H305" s="430">
        <v>4</v>
      </c>
      <c r="I305" s="431">
        <v>4</v>
      </c>
      <c r="J305" s="432">
        <v>0.24324324324324323</v>
      </c>
      <c r="K305" s="433">
        <v>0.27777777777777785</v>
      </c>
      <c r="L305" s="434">
        <v>0.75</v>
      </c>
      <c r="M305" s="463">
        <v>95.709068776628129</v>
      </c>
      <c r="N305" s="420">
        <v>-95.709068776628129</v>
      </c>
      <c r="T305" s="415">
        <f t="shared" si="37"/>
        <v>0.5</v>
      </c>
      <c r="U305" s="416">
        <f t="shared" si="38"/>
        <v>1</v>
      </c>
      <c r="V305" s="416">
        <f t="shared" si="39"/>
        <v>1</v>
      </c>
      <c r="W305" s="417">
        <f t="shared" si="40"/>
        <v>0.12375533428165002</v>
      </c>
      <c r="X305" s="418">
        <f t="shared" si="41"/>
        <v>9.7222222222222293E-2</v>
      </c>
      <c r="Y305" s="419">
        <f t="shared" si="42"/>
        <v>0.66666666666666663</v>
      </c>
      <c r="Z305" s="419">
        <f t="shared" si="43"/>
        <v>-5.7003911229669448E-2</v>
      </c>
      <c r="AB305" s="429">
        <f t="shared" si="44"/>
        <v>0.5</v>
      </c>
      <c r="AC305" s="430">
        <f t="shared" si="44"/>
        <v>1</v>
      </c>
      <c r="AD305" s="430">
        <f t="shared" si="44"/>
        <v>1</v>
      </c>
      <c r="AE305" s="432">
        <f t="shared" si="44"/>
        <v>0.12375533428165002</v>
      </c>
      <c r="AF305" s="433">
        <f t="shared" si="44"/>
        <v>9.7222222222222293E-2</v>
      </c>
      <c r="AG305" s="434">
        <f t="shared" si="44"/>
        <v>0.66666666666666663</v>
      </c>
      <c r="AH305" s="434">
        <f t="shared" si="44"/>
        <v>0</v>
      </c>
    </row>
    <row r="306" spans="1:34" ht="33" customHeight="1" x14ac:dyDescent="0.35">
      <c r="A306" s="413" t="s">
        <v>575</v>
      </c>
      <c r="B306" s="260" t="s">
        <v>197</v>
      </c>
      <c r="C306" s="259" t="s">
        <v>700</v>
      </c>
      <c r="D306" s="260" t="s">
        <v>918</v>
      </c>
      <c r="E306" s="260" t="s">
        <v>701</v>
      </c>
      <c r="F306" s="451"/>
      <c r="G306" s="429">
        <v>0</v>
      </c>
      <c r="H306" s="430">
        <v>0</v>
      </c>
      <c r="I306" s="431">
        <v>2</v>
      </c>
      <c r="J306" s="432">
        <v>0.29729729729729726</v>
      </c>
      <c r="K306" s="433">
        <v>0.44444444444444442</v>
      </c>
      <c r="L306" s="434">
        <v>0.6875</v>
      </c>
      <c r="M306" s="463">
        <v>128.57577601947659</v>
      </c>
      <c r="N306" s="420">
        <v>-128.57577601947659</v>
      </c>
      <c r="T306" s="415">
        <f t="shared" si="37"/>
        <v>0</v>
      </c>
      <c r="U306" s="416">
        <f t="shared" si="38"/>
        <v>0</v>
      </c>
      <c r="V306" s="416">
        <f t="shared" si="39"/>
        <v>0.5</v>
      </c>
      <c r="W306" s="417">
        <f t="shared" si="40"/>
        <v>0.18634423897581784</v>
      </c>
      <c r="X306" s="418">
        <f t="shared" si="41"/>
        <v>0.30555555555555547</v>
      </c>
      <c r="Y306" s="419">
        <f t="shared" si="42"/>
        <v>0.58333333333333337</v>
      </c>
      <c r="Z306" s="419">
        <f t="shared" si="43"/>
        <v>-0.36235404859805898</v>
      </c>
      <c r="AB306" s="429">
        <f t="shared" si="44"/>
        <v>0</v>
      </c>
      <c r="AC306" s="430">
        <f t="shared" si="44"/>
        <v>0</v>
      </c>
      <c r="AD306" s="430">
        <f t="shared" si="44"/>
        <v>0.5</v>
      </c>
      <c r="AE306" s="432">
        <f t="shared" si="44"/>
        <v>0.18634423897581784</v>
      </c>
      <c r="AF306" s="433">
        <f t="shared" si="44"/>
        <v>0.30555555555555547</v>
      </c>
      <c r="AG306" s="434">
        <f t="shared" si="44"/>
        <v>0.58333333333333337</v>
      </c>
      <c r="AH306" s="434">
        <f t="shared" si="44"/>
        <v>0</v>
      </c>
    </row>
    <row r="307" spans="1:34" ht="33" customHeight="1" x14ac:dyDescent="0.35">
      <c r="A307" s="413" t="s">
        <v>575</v>
      </c>
      <c r="B307" s="260" t="s">
        <v>200</v>
      </c>
      <c r="C307" s="259" t="s">
        <v>702</v>
      </c>
      <c r="D307" s="260" t="s">
        <v>918</v>
      </c>
      <c r="E307" s="260" t="s">
        <v>703</v>
      </c>
      <c r="F307" s="414"/>
      <c r="G307" s="429">
        <v>0</v>
      </c>
      <c r="H307" s="430">
        <v>0</v>
      </c>
      <c r="I307" s="431">
        <v>0</v>
      </c>
      <c r="J307" s="432">
        <v>0.13513513513513517</v>
      </c>
      <c r="K307" s="433">
        <v>0.27777777777777785</v>
      </c>
      <c r="L307" s="434">
        <v>0.625</v>
      </c>
      <c r="M307" s="435">
        <v>93.307924743315624</v>
      </c>
      <c r="N307" s="420">
        <v>-93.307924743315624</v>
      </c>
      <c r="T307" s="415">
        <f t="shared" si="37"/>
        <v>0</v>
      </c>
      <c r="U307" s="416">
        <f t="shared" si="38"/>
        <v>0</v>
      </c>
      <c r="V307" s="416">
        <f t="shared" si="39"/>
        <v>0</v>
      </c>
      <c r="W307" s="417">
        <f t="shared" si="40"/>
        <v>-1.422475106685645E-3</v>
      </c>
      <c r="X307" s="418">
        <f t="shared" si="41"/>
        <v>9.7222222222222293E-2</v>
      </c>
      <c r="Y307" s="419">
        <f t="shared" si="42"/>
        <v>0.5</v>
      </c>
      <c r="Z307" s="419">
        <f t="shared" si="43"/>
        <v>-3.4695936932280756E-2</v>
      </c>
      <c r="AB307" s="429">
        <f t="shared" si="44"/>
        <v>0</v>
      </c>
      <c r="AC307" s="430">
        <f t="shared" si="44"/>
        <v>0</v>
      </c>
      <c r="AD307" s="430">
        <f t="shared" si="44"/>
        <v>0</v>
      </c>
      <c r="AE307" s="432">
        <f t="shared" si="44"/>
        <v>0</v>
      </c>
      <c r="AF307" s="433">
        <f t="shared" ref="AE307:AH323" si="45">IF(X307&lt;0,0,X307)</f>
        <v>9.7222222222222293E-2</v>
      </c>
      <c r="AG307" s="434">
        <f t="shared" si="45"/>
        <v>0.5</v>
      </c>
      <c r="AH307" s="434">
        <f t="shared" si="45"/>
        <v>0</v>
      </c>
    </row>
    <row r="308" spans="1:34" ht="33" customHeight="1" x14ac:dyDescent="0.35">
      <c r="A308" s="413" t="s">
        <v>575</v>
      </c>
      <c r="B308" s="260" t="s">
        <v>203</v>
      </c>
      <c r="C308" s="259" t="s">
        <v>704</v>
      </c>
      <c r="D308" s="260" t="s">
        <v>918</v>
      </c>
      <c r="E308" s="260" t="s">
        <v>705</v>
      </c>
      <c r="F308" s="414"/>
      <c r="G308" s="429">
        <v>1</v>
      </c>
      <c r="H308" s="430">
        <v>1</v>
      </c>
      <c r="I308" s="431">
        <v>4</v>
      </c>
      <c r="J308" s="432">
        <v>0.40540540540540543</v>
      </c>
      <c r="K308" s="433">
        <v>0.66666666666666674</v>
      </c>
      <c r="L308" s="434">
        <v>0.875</v>
      </c>
      <c r="M308" s="463">
        <v>76.110772976262922</v>
      </c>
      <c r="N308" s="420">
        <v>-76.110772976262922</v>
      </c>
      <c r="T308" s="415">
        <f t="shared" si="37"/>
        <v>0.25</v>
      </c>
      <c r="U308" s="416">
        <f t="shared" si="38"/>
        <v>0.25</v>
      </c>
      <c r="V308" s="416">
        <f t="shared" si="39"/>
        <v>1</v>
      </c>
      <c r="W308" s="417">
        <f t="shared" si="40"/>
        <v>0.31152204836415365</v>
      </c>
      <c r="X308" s="418">
        <f t="shared" si="41"/>
        <v>0.58333333333333337</v>
      </c>
      <c r="Y308" s="419">
        <f t="shared" si="42"/>
        <v>0.83333333333333337</v>
      </c>
      <c r="Z308" s="419">
        <f t="shared" si="43"/>
        <v>0.12507524475666665</v>
      </c>
      <c r="AB308" s="429">
        <f t="shared" ref="AB308:AH353" si="46">IF(T308&lt;0,0,T308)</f>
        <v>0.25</v>
      </c>
      <c r="AC308" s="430">
        <f t="shared" si="46"/>
        <v>0.25</v>
      </c>
      <c r="AD308" s="430">
        <f t="shared" si="46"/>
        <v>1</v>
      </c>
      <c r="AE308" s="432">
        <f t="shared" si="45"/>
        <v>0.31152204836415365</v>
      </c>
      <c r="AF308" s="433">
        <f t="shared" si="45"/>
        <v>0.58333333333333337</v>
      </c>
      <c r="AG308" s="434">
        <f t="shared" si="45"/>
        <v>0.83333333333333337</v>
      </c>
      <c r="AH308" s="434">
        <f t="shared" si="45"/>
        <v>0.12507524475666665</v>
      </c>
    </row>
    <row r="309" spans="1:34" ht="33" customHeight="1" x14ac:dyDescent="0.35">
      <c r="A309" s="413" t="s">
        <v>575</v>
      </c>
      <c r="B309" s="260" t="s">
        <v>206</v>
      </c>
      <c r="C309" s="259" t="s">
        <v>706</v>
      </c>
      <c r="D309" s="260" t="s">
        <v>937</v>
      </c>
      <c r="E309" s="260" t="s">
        <v>707</v>
      </c>
      <c r="F309" s="414"/>
      <c r="G309" s="429">
        <v>0</v>
      </c>
      <c r="H309" s="430">
        <v>0</v>
      </c>
      <c r="I309" s="431">
        <v>0</v>
      </c>
      <c r="J309" s="452">
        <v>0</v>
      </c>
      <c r="K309" s="453">
        <v>0.1</v>
      </c>
      <c r="L309" s="454">
        <v>0.16666666666666657</v>
      </c>
      <c r="M309" s="455">
        <v>139.86608997365397</v>
      </c>
      <c r="N309" s="420">
        <v>-139.86608997365397</v>
      </c>
      <c r="T309" s="415">
        <f t="shared" si="37"/>
        <v>0</v>
      </c>
      <c r="U309" s="416">
        <f t="shared" si="38"/>
        <v>0</v>
      </c>
      <c r="V309" s="416">
        <f t="shared" si="39"/>
        <v>0</v>
      </c>
      <c r="W309" s="417">
        <f t="shared" si="40"/>
        <v>-0.15789473684210534</v>
      </c>
      <c r="X309" s="418">
        <f t="shared" si="41"/>
        <v>-0.125</v>
      </c>
      <c r="Y309" s="419">
        <f t="shared" si="42"/>
        <v>-0.11111111111111123</v>
      </c>
      <c r="Z309" s="419">
        <f t="shared" si="43"/>
        <v>-0.46724739527155201</v>
      </c>
      <c r="AB309" s="429">
        <f t="shared" si="46"/>
        <v>0</v>
      </c>
      <c r="AC309" s="430">
        <f t="shared" si="46"/>
        <v>0</v>
      </c>
      <c r="AD309" s="430">
        <f t="shared" si="46"/>
        <v>0</v>
      </c>
      <c r="AE309" s="432">
        <f t="shared" si="45"/>
        <v>0</v>
      </c>
      <c r="AF309" s="433">
        <f t="shared" si="45"/>
        <v>0</v>
      </c>
      <c r="AG309" s="434">
        <f t="shared" si="45"/>
        <v>0</v>
      </c>
      <c r="AH309" s="434">
        <f t="shared" si="45"/>
        <v>0</v>
      </c>
    </row>
    <row r="310" spans="1:34" ht="33" customHeight="1" x14ac:dyDescent="0.35">
      <c r="A310" s="413" t="s">
        <v>575</v>
      </c>
      <c r="B310" s="260" t="s">
        <v>209</v>
      </c>
      <c r="C310" s="259" t="s">
        <v>708</v>
      </c>
      <c r="D310" s="260" t="s">
        <v>919</v>
      </c>
      <c r="E310" s="260" t="s">
        <v>709</v>
      </c>
      <c r="F310" s="414"/>
      <c r="G310" s="429">
        <v>0</v>
      </c>
      <c r="H310" s="430">
        <v>4</v>
      </c>
      <c r="I310" s="431">
        <v>4</v>
      </c>
      <c r="J310" s="432">
        <v>0.67567567567567566</v>
      </c>
      <c r="K310" s="433">
        <v>0.66666666666666674</v>
      </c>
      <c r="L310" s="434">
        <v>0.875</v>
      </c>
      <c r="M310" s="463">
        <v>111.10772976262933</v>
      </c>
      <c r="N310" s="420">
        <v>-111.10772976262933</v>
      </c>
      <c r="T310" s="415">
        <f t="shared" si="37"/>
        <v>0</v>
      </c>
      <c r="U310" s="416">
        <f t="shared" si="38"/>
        <v>1</v>
      </c>
      <c r="V310" s="416">
        <f t="shared" si="39"/>
        <v>1</v>
      </c>
      <c r="W310" s="417">
        <f t="shared" si="40"/>
        <v>0.62446657183499277</v>
      </c>
      <c r="X310" s="418">
        <f t="shared" si="41"/>
        <v>0.58333333333333337</v>
      </c>
      <c r="Y310" s="419">
        <f t="shared" si="42"/>
        <v>0.83333333333333337</v>
      </c>
      <c r="Z310" s="419">
        <f t="shared" si="43"/>
        <v>-0.20006610521893325</v>
      </c>
      <c r="AB310" s="429">
        <f t="shared" si="46"/>
        <v>0</v>
      </c>
      <c r="AC310" s="430">
        <f t="shared" si="46"/>
        <v>1</v>
      </c>
      <c r="AD310" s="430">
        <f t="shared" si="46"/>
        <v>1</v>
      </c>
      <c r="AE310" s="432">
        <f t="shared" si="45"/>
        <v>0.62446657183499277</v>
      </c>
      <c r="AF310" s="433">
        <f t="shared" si="45"/>
        <v>0.58333333333333337</v>
      </c>
      <c r="AG310" s="434">
        <f t="shared" si="45"/>
        <v>0.83333333333333337</v>
      </c>
      <c r="AH310" s="434">
        <f t="shared" si="45"/>
        <v>0</v>
      </c>
    </row>
    <row r="311" spans="1:34" ht="33" customHeight="1" x14ac:dyDescent="0.35">
      <c r="A311" s="413" t="s">
        <v>575</v>
      </c>
      <c r="B311" s="260" t="s">
        <v>212</v>
      </c>
      <c r="C311" s="259" t="s">
        <v>710</v>
      </c>
      <c r="D311" s="260" t="s">
        <v>919</v>
      </c>
      <c r="E311" s="260" t="s">
        <v>711</v>
      </c>
      <c r="F311" s="414"/>
      <c r="G311" s="429">
        <v>0</v>
      </c>
      <c r="H311" s="430">
        <v>4</v>
      </c>
      <c r="I311" s="431">
        <v>4</v>
      </c>
      <c r="J311" s="432">
        <v>0.13513513513513517</v>
      </c>
      <c r="K311" s="433">
        <v>0.16666666666666657</v>
      </c>
      <c r="L311" s="434">
        <v>0.5</v>
      </c>
      <c r="M311" s="463">
        <v>66.920267802799742</v>
      </c>
      <c r="N311" s="420">
        <v>-66.920267802799742</v>
      </c>
      <c r="T311" s="415">
        <f t="shared" si="37"/>
        <v>0</v>
      </c>
      <c r="U311" s="416">
        <f t="shared" si="38"/>
        <v>1</v>
      </c>
      <c r="V311" s="416">
        <f t="shared" si="39"/>
        <v>1</v>
      </c>
      <c r="W311" s="417">
        <f t="shared" si="40"/>
        <v>-1.422475106685645E-3</v>
      </c>
      <c r="X311" s="418">
        <f t="shared" si="41"/>
        <v>-4.1666666666666796E-2</v>
      </c>
      <c r="Y311" s="419">
        <f t="shared" si="42"/>
        <v>0.33333333333333331</v>
      </c>
      <c r="Z311" s="419">
        <f t="shared" si="43"/>
        <v>0.21046019057634593</v>
      </c>
      <c r="AB311" s="429">
        <f t="shared" si="46"/>
        <v>0</v>
      </c>
      <c r="AC311" s="430">
        <f t="shared" si="46"/>
        <v>1</v>
      </c>
      <c r="AD311" s="430">
        <f t="shared" si="46"/>
        <v>1</v>
      </c>
      <c r="AE311" s="432">
        <f t="shared" si="45"/>
        <v>0</v>
      </c>
      <c r="AF311" s="433">
        <f t="shared" si="45"/>
        <v>0</v>
      </c>
      <c r="AG311" s="434">
        <f t="shared" si="45"/>
        <v>0.33333333333333331</v>
      </c>
      <c r="AH311" s="434">
        <f t="shared" si="45"/>
        <v>0.21046019057634593</v>
      </c>
    </row>
    <row r="312" spans="1:34" ht="33" customHeight="1" x14ac:dyDescent="0.35">
      <c r="A312" s="413" t="s">
        <v>575</v>
      </c>
      <c r="B312" s="260" t="s">
        <v>215</v>
      </c>
      <c r="C312" s="259" t="s">
        <v>712</v>
      </c>
      <c r="D312" s="260" t="s">
        <v>938</v>
      </c>
      <c r="E312" s="260" t="s">
        <v>713</v>
      </c>
      <c r="F312" s="414"/>
      <c r="G312" s="429">
        <v>0</v>
      </c>
      <c r="H312" s="430">
        <v>0</v>
      </c>
      <c r="I312" s="431">
        <v>0</v>
      </c>
      <c r="J312" s="452">
        <v>0</v>
      </c>
      <c r="K312" s="453">
        <v>0</v>
      </c>
      <c r="L312" s="454">
        <v>0</v>
      </c>
      <c r="M312" s="455">
        <v>96.161833236091638</v>
      </c>
      <c r="N312" s="420">
        <v>-96.161833236091638</v>
      </c>
      <c r="T312" s="415">
        <f t="shared" si="37"/>
        <v>0</v>
      </c>
      <c r="U312" s="416">
        <f t="shared" si="38"/>
        <v>0</v>
      </c>
      <c r="V312" s="416">
        <f t="shared" si="39"/>
        <v>0</v>
      </c>
      <c r="W312" s="417">
        <f t="shared" si="40"/>
        <v>-0.15789473684210534</v>
      </c>
      <c r="X312" s="418">
        <f t="shared" si="41"/>
        <v>-0.25</v>
      </c>
      <c r="Y312" s="419">
        <f t="shared" si="42"/>
        <v>-0.33333333333333331</v>
      </c>
      <c r="Z312" s="419">
        <f t="shared" si="43"/>
        <v>-6.1210346905479038E-2</v>
      </c>
      <c r="AB312" s="429">
        <f t="shared" si="46"/>
        <v>0</v>
      </c>
      <c r="AC312" s="430">
        <f t="shared" si="46"/>
        <v>0</v>
      </c>
      <c r="AD312" s="430">
        <f t="shared" si="46"/>
        <v>0</v>
      </c>
      <c r="AE312" s="432">
        <f t="shared" si="45"/>
        <v>0</v>
      </c>
      <c r="AF312" s="433">
        <f t="shared" si="45"/>
        <v>0</v>
      </c>
      <c r="AG312" s="434">
        <f t="shared" si="45"/>
        <v>0</v>
      </c>
      <c r="AH312" s="434">
        <f t="shared" si="45"/>
        <v>0</v>
      </c>
    </row>
    <row r="313" spans="1:34" ht="33" customHeight="1" x14ac:dyDescent="0.35">
      <c r="A313" s="413" t="s">
        <v>575</v>
      </c>
      <c r="B313" s="260" t="s">
        <v>218</v>
      </c>
      <c r="C313" s="259" t="s">
        <v>714</v>
      </c>
      <c r="D313" s="260" t="s">
        <v>916</v>
      </c>
      <c r="E313" s="260" t="s">
        <v>715</v>
      </c>
      <c r="F313" s="414"/>
      <c r="G313" s="429">
        <v>2</v>
      </c>
      <c r="H313" s="430">
        <v>0</v>
      </c>
      <c r="I313" s="431">
        <v>4</v>
      </c>
      <c r="J313" s="432">
        <v>0.29729729729729726</v>
      </c>
      <c r="K313" s="433">
        <v>0.5</v>
      </c>
      <c r="L313" s="434">
        <v>0.625</v>
      </c>
      <c r="M313" s="463">
        <v>59.373097991479</v>
      </c>
      <c r="N313" s="420">
        <v>-59.373097991479</v>
      </c>
      <c r="T313" s="415">
        <f t="shared" si="37"/>
        <v>0.5</v>
      </c>
      <c r="U313" s="416">
        <f t="shared" si="38"/>
        <v>0</v>
      </c>
      <c r="V313" s="416">
        <f t="shared" si="39"/>
        <v>1</v>
      </c>
      <c r="W313" s="417">
        <f t="shared" si="40"/>
        <v>0.18634423897581784</v>
      </c>
      <c r="X313" s="418">
        <f t="shared" si="41"/>
        <v>0.37499999999999994</v>
      </c>
      <c r="Y313" s="419">
        <f t="shared" si="42"/>
        <v>0.5</v>
      </c>
      <c r="Z313" s="419">
        <f t="shared" si="43"/>
        <v>0.28057762952760562</v>
      </c>
      <c r="AB313" s="429">
        <f t="shared" si="46"/>
        <v>0.5</v>
      </c>
      <c r="AC313" s="430">
        <f t="shared" si="46"/>
        <v>0</v>
      </c>
      <c r="AD313" s="430">
        <f t="shared" si="46"/>
        <v>1</v>
      </c>
      <c r="AE313" s="432">
        <f t="shared" si="45"/>
        <v>0.18634423897581784</v>
      </c>
      <c r="AF313" s="433">
        <f t="shared" si="45"/>
        <v>0.37499999999999994</v>
      </c>
      <c r="AG313" s="434">
        <f t="shared" si="45"/>
        <v>0.5</v>
      </c>
      <c r="AH313" s="434">
        <f t="shared" si="45"/>
        <v>0.28057762952760562</v>
      </c>
    </row>
    <row r="314" spans="1:34" ht="33" customHeight="1" x14ac:dyDescent="0.35">
      <c r="A314" s="413" t="s">
        <v>575</v>
      </c>
      <c r="B314" s="260" t="s">
        <v>221</v>
      </c>
      <c r="C314" s="259" t="s">
        <v>716</v>
      </c>
      <c r="D314" s="260" t="s">
        <v>918</v>
      </c>
      <c r="E314" s="260" t="s">
        <v>717</v>
      </c>
      <c r="F314" s="448"/>
      <c r="G314" s="429">
        <v>1</v>
      </c>
      <c r="H314" s="430">
        <v>0</v>
      </c>
      <c r="I314" s="431">
        <v>0</v>
      </c>
      <c r="J314" s="432">
        <v>0.13513513513513517</v>
      </c>
      <c r="K314" s="433">
        <v>0.44444444444444442</v>
      </c>
      <c r="L314" s="434">
        <v>0.25</v>
      </c>
      <c r="M314" s="435">
        <v>106.3710452197175</v>
      </c>
      <c r="N314" s="420">
        <v>-106.3710452197175</v>
      </c>
      <c r="T314" s="415">
        <f t="shared" si="37"/>
        <v>0.25</v>
      </c>
      <c r="U314" s="416">
        <f t="shared" si="38"/>
        <v>0</v>
      </c>
      <c r="V314" s="416">
        <f t="shared" si="39"/>
        <v>0</v>
      </c>
      <c r="W314" s="417">
        <f t="shared" si="40"/>
        <v>-1.422475106685645E-3</v>
      </c>
      <c r="X314" s="418">
        <f t="shared" si="41"/>
        <v>0.30555555555555547</v>
      </c>
      <c r="Y314" s="419">
        <f t="shared" si="42"/>
        <v>0</v>
      </c>
      <c r="Z314" s="419">
        <f t="shared" si="43"/>
        <v>-0.15605965014079123</v>
      </c>
      <c r="AB314" s="429">
        <f t="shared" si="46"/>
        <v>0.25</v>
      </c>
      <c r="AC314" s="430">
        <f t="shared" si="46"/>
        <v>0</v>
      </c>
      <c r="AD314" s="430">
        <f t="shared" si="46"/>
        <v>0</v>
      </c>
      <c r="AE314" s="432">
        <f t="shared" si="45"/>
        <v>0</v>
      </c>
      <c r="AF314" s="433">
        <f t="shared" si="45"/>
        <v>0.30555555555555547</v>
      </c>
      <c r="AG314" s="434">
        <f t="shared" si="45"/>
        <v>0</v>
      </c>
      <c r="AH314" s="434">
        <f t="shared" si="45"/>
        <v>0</v>
      </c>
    </row>
    <row r="315" spans="1:34" ht="33" customHeight="1" x14ac:dyDescent="0.35">
      <c r="A315" s="426" t="s">
        <v>575</v>
      </c>
      <c r="B315" s="427" t="s">
        <v>224</v>
      </c>
      <c r="C315" s="428" t="s">
        <v>718</v>
      </c>
      <c r="D315" s="260" t="s">
        <v>918</v>
      </c>
      <c r="E315" s="260" t="s">
        <v>719</v>
      </c>
      <c r="F315" s="414"/>
      <c r="G315" s="429">
        <v>2</v>
      </c>
      <c r="H315" s="430">
        <v>4</v>
      </c>
      <c r="I315" s="431">
        <v>4</v>
      </c>
      <c r="J315" s="432">
        <v>0.72972972972972971</v>
      </c>
      <c r="K315" s="433">
        <v>0.77777777777777768</v>
      </c>
      <c r="L315" s="434">
        <v>0.9375</v>
      </c>
      <c r="M315" s="435">
        <v>7.6982970235486459</v>
      </c>
      <c r="N315" s="420">
        <v>-7.6982970235486459</v>
      </c>
      <c r="T315" s="415">
        <f t="shared" si="37"/>
        <v>0.5</v>
      </c>
      <c r="U315" s="416">
        <f t="shared" si="38"/>
        <v>1</v>
      </c>
      <c r="V315" s="416">
        <f t="shared" si="39"/>
        <v>1</v>
      </c>
      <c r="W315" s="417">
        <f t="shared" si="40"/>
        <v>0.68705547652916077</v>
      </c>
      <c r="X315" s="418">
        <f t="shared" si="41"/>
        <v>0.7222222222222221</v>
      </c>
      <c r="Y315" s="419">
        <f t="shared" si="42"/>
        <v>0.91666666666666663</v>
      </c>
      <c r="Z315" s="419">
        <f t="shared" si="43"/>
        <v>0.76066550256743037</v>
      </c>
      <c r="AB315" s="429">
        <f t="shared" si="46"/>
        <v>0.5</v>
      </c>
      <c r="AC315" s="430">
        <f t="shared" si="46"/>
        <v>1</v>
      </c>
      <c r="AD315" s="430">
        <f t="shared" si="46"/>
        <v>1</v>
      </c>
      <c r="AE315" s="432">
        <f t="shared" si="45"/>
        <v>0.68705547652916077</v>
      </c>
      <c r="AF315" s="433">
        <f t="shared" si="45"/>
        <v>0.7222222222222221</v>
      </c>
      <c r="AG315" s="434">
        <f t="shared" si="45"/>
        <v>0.91666666666666663</v>
      </c>
      <c r="AH315" s="434">
        <f t="shared" si="45"/>
        <v>0.76066550256743037</v>
      </c>
    </row>
    <row r="316" spans="1:34" ht="33" customHeight="1" x14ac:dyDescent="0.35">
      <c r="A316" s="413" t="s">
        <v>575</v>
      </c>
      <c r="B316" s="260" t="s">
        <v>227</v>
      </c>
      <c r="C316" s="259" t="s">
        <v>720</v>
      </c>
      <c r="D316" s="260" t="s">
        <v>918</v>
      </c>
      <c r="E316" s="260" t="s">
        <v>721</v>
      </c>
      <c r="F316" s="414"/>
      <c r="G316" s="429">
        <v>0</v>
      </c>
      <c r="H316" s="430">
        <v>0</v>
      </c>
      <c r="I316" s="431">
        <v>0</v>
      </c>
      <c r="J316" s="432">
        <v>0.13513513513513517</v>
      </c>
      <c r="K316" s="433">
        <v>0.11111111111111115</v>
      </c>
      <c r="L316" s="434">
        <v>0.3125</v>
      </c>
      <c r="M316" s="435">
        <v>98.384163768960306</v>
      </c>
      <c r="N316" s="420">
        <v>-98.384163768960306</v>
      </c>
      <c r="T316" s="415">
        <f t="shared" si="37"/>
        <v>0</v>
      </c>
      <c r="U316" s="416">
        <f t="shared" si="38"/>
        <v>0</v>
      </c>
      <c r="V316" s="416">
        <f t="shared" si="39"/>
        <v>0</v>
      </c>
      <c r="W316" s="417">
        <f t="shared" si="40"/>
        <v>-1.422475106685645E-3</v>
      </c>
      <c r="X316" s="418">
        <f t="shared" si="41"/>
        <v>-0.11111111111111108</v>
      </c>
      <c r="Y316" s="419">
        <f t="shared" si="42"/>
        <v>8.3333333333333329E-2</v>
      </c>
      <c r="Z316" s="419">
        <f t="shared" si="43"/>
        <v>-8.1857043529981008E-2</v>
      </c>
      <c r="AB316" s="429">
        <f t="shared" si="46"/>
        <v>0</v>
      </c>
      <c r="AC316" s="430">
        <f t="shared" si="46"/>
        <v>0</v>
      </c>
      <c r="AD316" s="430">
        <f t="shared" si="46"/>
        <v>0</v>
      </c>
      <c r="AE316" s="432">
        <f t="shared" si="45"/>
        <v>0</v>
      </c>
      <c r="AF316" s="433">
        <f t="shared" si="45"/>
        <v>0</v>
      </c>
      <c r="AG316" s="434">
        <f t="shared" si="45"/>
        <v>8.3333333333333329E-2</v>
      </c>
      <c r="AH316" s="434">
        <f t="shared" si="45"/>
        <v>0</v>
      </c>
    </row>
    <row r="317" spans="1:34" ht="33" customHeight="1" x14ac:dyDescent="0.35">
      <c r="A317" s="413" t="s">
        <v>575</v>
      </c>
      <c r="B317" s="260" t="s">
        <v>230</v>
      </c>
      <c r="C317" s="259" t="s">
        <v>722</v>
      </c>
      <c r="D317" s="260" t="s">
        <v>918</v>
      </c>
      <c r="E317" s="260" t="s">
        <v>723</v>
      </c>
      <c r="F317" s="414"/>
      <c r="G317" s="429">
        <v>4</v>
      </c>
      <c r="H317" s="430">
        <v>4</v>
      </c>
      <c r="I317" s="431">
        <v>4</v>
      </c>
      <c r="J317" s="432">
        <v>0.35135135135135132</v>
      </c>
      <c r="K317" s="433">
        <v>0.88888888888888884</v>
      </c>
      <c r="L317" s="434">
        <v>0.75</v>
      </c>
      <c r="M317" s="463">
        <v>97.656725502130257</v>
      </c>
      <c r="N317" s="420">
        <v>-97.656725502130257</v>
      </c>
      <c r="T317" s="415">
        <f t="shared" si="37"/>
        <v>1</v>
      </c>
      <c r="U317" s="416">
        <f t="shared" si="38"/>
        <v>1</v>
      </c>
      <c r="V317" s="416">
        <f t="shared" si="39"/>
        <v>1</v>
      </c>
      <c r="W317" s="417">
        <f t="shared" si="40"/>
        <v>0.2489331436699857</v>
      </c>
      <c r="X317" s="418">
        <f t="shared" si="41"/>
        <v>0.86111111111111105</v>
      </c>
      <c r="Y317" s="419">
        <f t="shared" si="42"/>
        <v>0.66666666666666663</v>
      </c>
      <c r="Z317" s="419">
        <f t="shared" si="43"/>
        <v>-7.5098734184833246E-2</v>
      </c>
      <c r="AB317" s="429">
        <f t="shared" si="46"/>
        <v>1</v>
      </c>
      <c r="AC317" s="430">
        <f t="shared" si="46"/>
        <v>1</v>
      </c>
      <c r="AD317" s="430">
        <f t="shared" si="46"/>
        <v>1</v>
      </c>
      <c r="AE317" s="432">
        <f t="shared" si="45"/>
        <v>0.2489331436699857</v>
      </c>
      <c r="AF317" s="433">
        <f t="shared" si="45"/>
        <v>0.86111111111111105</v>
      </c>
      <c r="AG317" s="434">
        <f t="shared" si="45"/>
        <v>0.66666666666666663</v>
      </c>
      <c r="AH317" s="434">
        <f t="shared" si="45"/>
        <v>0</v>
      </c>
    </row>
    <row r="318" spans="1:34" ht="33" customHeight="1" x14ac:dyDescent="0.35">
      <c r="A318" s="413" t="s">
        <v>575</v>
      </c>
      <c r="B318" s="260" t="s">
        <v>233</v>
      </c>
      <c r="C318" s="259" t="s">
        <v>724</v>
      </c>
      <c r="D318" s="260" t="s">
        <v>918</v>
      </c>
      <c r="E318" s="260" t="s">
        <v>725</v>
      </c>
      <c r="F318" s="414"/>
      <c r="G318" s="429">
        <v>0</v>
      </c>
      <c r="H318" s="430">
        <v>0</v>
      </c>
      <c r="I318" s="431">
        <v>0</v>
      </c>
      <c r="J318" s="432">
        <v>0.1891891891891892</v>
      </c>
      <c r="K318" s="433">
        <v>0.27777777777777785</v>
      </c>
      <c r="L318" s="434">
        <v>0.375</v>
      </c>
      <c r="M318" s="435">
        <v>101.93678469513461</v>
      </c>
      <c r="N318" s="420">
        <v>-101.93678469513461</v>
      </c>
      <c r="T318" s="415">
        <f t="shared" si="37"/>
        <v>0</v>
      </c>
      <c r="U318" s="416">
        <f t="shared" si="38"/>
        <v>0</v>
      </c>
      <c r="V318" s="416">
        <f t="shared" si="39"/>
        <v>0</v>
      </c>
      <c r="W318" s="417">
        <f t="shared" si="40"/>
        <v>6.1166429587482189E-2</v>
      </c>
      <c r="X318" s="418">
        <f t="shared" si="41"/>
        <v>9.7222222222222293E-2</v>
      </c>
      <c r="Y318" s="419">
        <f t="shared" si="42"/>
        <v>0.16666666666666666</v>
      </c>
      <c r="Z318" s="419">
        <f t="shared" si="43"/>
        <v>-0.11486288375029027</v>
      </c>
      <c r="AB318" s="429">
        <f t="shared" si="46"/>
        <v>0</v>
      </c>
      <c r="AC318" s="430">
        <f t="shared" si="46"/>
        <v>0</v>
      </c>
      <c r="AD318" s="430">
        <f t="shared" si="46"/>
        <v>0</v>
      </c>
      <c r="AE318" s="432">
        <f t="shared" si="45"/>
        <v>6.1166429587482189E-2</v>
      </c>
      <c r="AF318" s="433">
        <f t="shared" si="45"/>
        <v>9.7222222222222293E-2</v>
      </c>
      <c r="AG318" s="434">
        <f t="shared" si="45"/>
        <v>0.16666666666666666</v>
      </c>
      <c r="AH318" s="434">
        <f t="shared" si="45"/>
        <v>0</v>
      </c>
    </row>
    <row r="319" spans="1:34" ht="33" customHeight="1" x14ac:dyDescent="0.35">
      <c r="A319" s="413" t="s">
        <v>575</v>
      </c>
      <c r="B319" s="260" t="s">
        <v>236</v>
      </c>
      <c r="C319" s="259" t="s">
        <v>726</v>
      </c>
      <c r="D319" s="260" t="s">
        <v>920</v>
      </c>
      <c r="E319" s="260" t="s">
        <v>727</v>
      </c>
      <c r="F319" s="414"/>
      <c r="G319" s="429">
        <v>1</v>
      </c>
      <c r="H319" s="430">
        <v>2</v>
      </c>
      <c r="I319" s="431">
        <v>3</v>
      </c>
      <c r="J319" s="432">
        <v>0.24324324324324323</v>
      </c>
      <c r="K319" s="433">
        <v>0.33333333333333343</v>
      </c>
      <c r="L319" s="434">
        <v>0.5625</v>
      </c>
      <c r="M319" s="463">
        <v>94.126597687157613</v>
      </c>
      <c r="N319" s="420">
        <v>-94.126597687157613</v>
      </c>
      <c r="T319" s="415">
        <f t="shared" si="37"/>
        <v>0.25</v>
      </c>
      <c r="U319" s="416">
        <f t="shared" si="38"/>
        <v>0.5</v>
      </c>
      <c r="V319" s="416">
        <f t="shared" si="39"/>
        <v>0.75</v>
      </c>
      <c r="W319" s="417">
        <f t="shared" si="40"/>
        <v>0.12375533428165002</v>
      </c>
      <c r="X319" s="418">
        <f t="shared" si="41"/>
        <v>0.16666666666666677</v>
      </c>
      <c r="Y319" s="419">
        <f t="shared" si="42"/>
        <v>0.41666666666666669</v>
      </c>
      <c r="Z319" s="419">
        <f t="shared" si="43"/>
        <v>-4.2301867578598516E-2</v>
      </c>
      <c r="AB319" s="429">
        <f t="shared" si="46"/>
        <v>0.25</v>
      </c>
      <c r="AC319" s="430">
        <f t="shared" si="46"/>
        <v>0.5</v>
      </c>
      <c r="AD319" s="430">
        <f t="shared" si="46"/>
        <v>0.75</v>
      </c>
      <c r="AE319" s="432">
        <f t="shared" si="45"/>
        <v>0.12375533428165002</v>
      </c>
      <c r="AF319" s="433">
        <f t="shared" si="45"/>
        <v>0.16666666666666677</v>
      </c>
      <c r="AG319" s="434">
        <f t="shared" si="45"/>
        <v>0.41666666666666669</v>
      </c>
      <c r="AH319" s="434">
        <f t="shared" si="45"/>
        <v>0</v>
      </c>
    </row>
    <row r="320" spans="1:34" ht="33" customHeight="1" x14ac:dyDescent="0.35">
      <c r="A320" s="413" t="s">
        <v>575</v>
      </c>
      <c r="B320" s="260" t="s">
        <v>239</v>
      </c>
      <c r="C320" s="259" t="s">
        <v>728</v>
      </c>
      <c r="D320" s="260" t="s">
        <v>918</v>
      </c>
      <c r="E320" s="260" t="s">
        <v>729</v>
      </c>
      <c r="F320" s="414"/>
      <c r="G320" s="429">
        <v>0</v>
      </c>
      <c r="H320" s="430">
        <v>0</v>
      </c>
      <c r="I320" s="431">
        <v>0</v>
      </c>
      <c r="J320" s="432">
        <v>0.13513513513513517</v>
      </c>
      <c r="K320" s="433">
        <v>0.55555555555555558</v>
      </c>
      <c r="L320" s="434">
        <v>0.9375</v>
      </c>
      <c r="M320" s="435">
        <v>103.30137648103192</v>
      </c>
      <c r="N320" s="420">
        <v>-103.30137648103192</v>
      </c>
      <c r="T320" s="415">
        <f t="shared" si="37"/>
        <v>0</v>
      </c>
      <c r="U320" s="416">
        <f t="shared" si="38"/>
        <v>0</v>
      </c>
      <c r="V320" s="416">
        <f t="shared" si="39"/>
        <v>0</v>
      </c>
      <c r="W320" s="417">
        <f t="shared" si="40"/>
        <v>-1.422475106685645E-3</v>
      </c>
      <c r="X320" s="418">
        <f t="shared" si="41"/>
        <v>0.44444444444444442</v>
      </c>
      <c r="Y320" s="419">
        <f t="shared" si="42"/>
        <v>0.91666666666666663</v>
      </c>
      <c r="Z320" s="419">
        <f t="shared" si="43"/>
        <v>-0.12754070651472885</v>
      </c>
      <c r="AB320" s="429">
        <f t="shared" si="46"/>
        <v>0</v>
      </c>
      <c r="AC320" s="430">
        <f t="shared" si="46"/>
        <v>0</v>
      </c>
      <c r="AD320" s="430">
        <f t="shared" si="46"/>
        <v>0</v>
      </c>
      <c r="AE320" s="432">
        <f t="shared" si="45"/>
        <v>0</v>
      </c>
      <c r="AF320" s="433">
        <f t="shared" si="45"/>
        <v>0.44444444444444442</v>
      </c>
      <c r="AG320" s="434">
        <f t="shared" si="45"/>
        <v>0.91666666666666663</v>
      </c>
      <c r="AH320" s="434">
        <f t="shared" si="45"/>
        <v>0</v>
      </c>
    </row>
    <row r="321" spans="1:34" ht="33" customHeight="1" x14ac:dyDescent="0.35">
      <c r="A321" s="413" t="s">
        <v>575</v>
      </c>
      <c r="B321" s="260" t="s">
        <v>242</v>
      </c>
      <c r="C321" s="259" t="s">
        <v>730</v>
      </c>
      <c r="D321" s="260" t="s">
        <v>938</v>
      </c>
      <c r="E321" s="260" t="s">
        <v>731</v>
      </c>
      <c r="F321" s="414"/>
      <c r="G321" s="429">
        <v>0</v>
      </c>
      <c r="H321" s="430">
        <v>2</v>
      </c>
      <c r="I321" s="431">
        <v>0</v>
      </c>
      <c r="J321" s="452">
        <v>0</v>
      </c>
      <c r="K321" s="453">
        <v>0.05</v>
      </c>
      <c r="L321" s="454">
        <v>0.27777777777777785</v>
      </c>
      <c r="M321" s="455">
        <v>108.87912552249971</v>
      </c>
      <c r="N321" s="420">
        <v>-108.87912552249971</v>
      </c>
      <c r="T321" s="415">
        <f t="shared" si="37"/>
        <v>0</v>
      </c>
      <c r="U321" s="416">
        <f t="shared" si="38"/>
        <v>0.5</v>
      </c>
      <c r="V321" s="416">
        <f t="shared" si="39"/>
        <v>0</v>
      </c>
      <c r="W321" s="417">
        <f t="shared" si="40"/>
        <v>-0.15789473684210534</v>
      </c>
      <c r="X321" s="418">
        <f t="shared" si="41"/>
        <v>-0.18750000000000003</v>
      </c>
      <c r="Y321" s="419">
        <f t="shared" si="42"/>
        <v>3.7037037037037125E-2</v>
      </c>
      <c r="Z321" s="419">
        <f t="shared" si="43"/>
        <v>-0.17936112233655371</v>
      </c>
      <c r="AB321" s="429">
        <f t="shared" si="46"/>
        <v>0</v>
      </c>
      <c r="AC321" s="430">
        <f t="shared" si="46"/>
        <v>0.5</v>
      </c>
      <c r="AD321" s="430">
        <f t="shared" si="46"/>
        <v>0</v>
      </c>
      <c r="AE321" s="432">
        <f t="shared" si="45"/>
        <v>0</v>
      </c>
      <c r="AF321" s="433">
        <f t="shared" si="45"/>
        <v>0</v>
      </c>
      <c r="AG321" s="434">
        <f t="shared" si="45"/>
        <v>3.7037037037037125E-2</v>
      </c>
      <c r="AH321" s="434">
        <f t="shared" si="45"/>
        <v>0</v>
      </c>
    </row>
    <row r="322" spans="1:34" ht="33" customHeight="1" x14ac:dyDescent="0.35">
      <c r="A322" s="413" t="s">
        <v>575</v>
      </c>
      <c r="B322" s="260" t="s">
        <v>245</v>
      </c>
      <c r="C322" s="259" t="s">
        <v>732</v>
      </c>
      <c r="D322" s="260" t="s">
        <v>925</v>
      </c>
      <c r="E322" s="260" t="s">
        <v>733</v>
      </c>
      <c r="F322" s="414"/>
      <c r="G322" s="429">
        <v>0</v>
      </c>
      <c r="H322" s="430">
        <v>2</v>
      </c>
      <c r="I322" s="431">
        <v>1</v>
      </c>
      <c r="J322" s="452">
        <v>0.15</v>
      </c>
      <c r="K322" s="453">
        <v>0.2</v>
      </c>
      <c r="L322" s="454">
        <v>0.11111111111111115</v>
      </c>
      <c r="M322" s="455">
        <v>88.674218547183045</v>
      </c>
      <c r="N322" s="420">
        <v>-88.674218547183045</v>
      </c>
      <c r="T322" s="415">
        <f t="shared" si="37"/>
        <v>0</v>
      </c>
      <c r="U322" s="416">
        <f t="shared" si="38"/>
        <v>0.5</v>
      </c>
      <c r="V322" s="416">
        <f t="shared" si="39"/>
        <v>0.25</v>
      </c>
      <c r="W322" s="417">
        <f t="shared" si="40"/>
        <v>1.5789473684210468E-2</v>
      </c>
      <c r="X322" s="418">
        <f t="shared" si="41"/>
        <v>0</v>
      </c>
      <c r="Y322" s="419">
        <f t="shared" si="42"/>
        <v>-0.18518518518518512</v>
      </c>
      <c r="Z322" s="419">
        <f t="shared" si="43"/>
        <v>8.3537915683347865E-3</v>
      </c>
      <c r="AB322" s="429">
        <f t="shared" si="46"/>
        <v>0</v>
      </c>
      <c r="AC322" s="430">
        <f t="shared" si="46"/>
        <v>0.5</v>
      </c>
      <c r="AD322" s="430">
        <f t="shared" si="46"/>
        <v>0.25</v>
      </c>
      <c r="AE322" s="432">
        <f t="shared" si="45"/>
        <v>1.5789473684210468E-2</v>
      </c>
      <c r="AF322" s="433">
        <f t="shared" si="45"/>
        <v>0</v>
      </c>
      <c r="AG322" s="434">
        <f t="shared" si="45"/>
        <v>0</v>
      </c>
      <c r="AH322" s="434">
        <f t="shared" si="45"/>
        <v>8.3537915683347865E-3</v>
      </c>
    </row>
    <row r="323" spans="1:34" ht="33" customHeight="1" x14ac:dyDescent="0.35">
      <c r="A323" s="413" t="s">
        <v>575</v>
      </c>
      <c r="B323" s="260" t="s">
        <v>248</v>
      </c>
      <c r="C323" s="259" t="s">
        <v>734</v>
      </c>
      <c r="D323" s="260" t="s">
        <v>918</v>
      </c>
      <c r="E323" s="260" t="s">
        <v>735</v>
      </c>
      <c r="F323" s="414"/>
      <c r="G323" s="429">
        <v>0</v>
      </c>
      <c r="H323" s="430">
        <v>0</v>
      </c>
      <c r="I323" s="431">
        <v>1</v>
      </c>
      <c r="J323" s="432">
        <v>0.13513513513513517</v>
      </c>
      <c r="K323" s="433">
        <v>0.11111111111111115</v>
      </c>
      <c r="L323" s="434">
        <v>0</v>
      </c>
      <c r="M323" s="435">
        <v>115.43370970376603</v>
      </c>
      <c r="N323" s="420">
        <v>-115.43370970376603</v>
      </c>
      <c r="T323" s="415">
        <f t="shared" si="37"/>
        <v>0</v>
      </c>
      <c r="U323" s="416">
        <f t="shared" si="38"/>
        <v>0</v>
      </c>
      <c r="V323" s="416">
        <f t="shared" si="39"/>
        <v>0.25</v>
      </c>
      <c r="W323" s="417">
        <f t="shared" si="40"/>
        <v>-1.422475106685645E-3</v>
      </c>
      <c r="X323" s="418">
        <f t="shared" si="41"/>
        <v>-0.11111111111111108</v>
      </c>
      <c r="Y323" s="419">
        <f t="shared" si="42"/>
        <v>-0.33333333333333331</v>
      </c>
      <c r="Z323" s="419">
        <f t="shared" si="43"/>
        <v>-0.24025688428051425</v>
      </c>
      <c r="AB323" s="429">
        <f t="shared" si="46"/>
        <v>0</v>
      </c>
      <c r="AC323" s="430">
        <f t="shared" si="46"/>
        <v>0</v>
      </c>
      <c r="AD323" s="430">
        <f t="shared" si="46"/>
        <v>0.25</v>
      </c>
      <c r="AE323" s="432">
        <f t="shared" si="45"/>
        <v>0</v>
      </c>
      <c r="AF323" s="433">
        <f t="shared" si="45"/>
        <v>0</v>
      </c>
      <c r="AG323" s="434">
        <f t="shared" si="45"/>
        <v>0</v>
      </c>
      <c r="AH323" s="434">
        <f t="shared" si="45"/>
        <v>0</v>
      </c>
    </row>
    <row r="324" spans="1:34" ht="33" customHeight="1" x14ac:dyDescent="0.35">
      <c r="A324" s="413" t="s">
        <v>736</v>
      </c>
      <c r="B324" s="260" t="s">
        <v>10</v>
      </c>
      <c r="C324" s="259" t="s">
        <v>737</v>
      </c>
      <c r="D324" s="260" t="s">
        <v>918</v>
      </c>
      <c r="E324" s="260" t="s">
        <v>738</v>
      </c>
      <c r="F324" s="414"/>
      <c r="G324" s="429">
        <v>0</v>
      </c>
      <c r="H324" s="430">
        <v>0</v>
      </c>
      <c r="I324" s="431">
        <v>0</v>
      </c>
      <c r="J324" s="452">
        <v>9.0909090909090912E-2</v>
      </c>
      <c r="K324" s="453">
        <v>0.15</v>
      </c>
      <c r="L324" s="454">
        <v>0.15789473684210525</v>
      </c>
      <c r="M324" s="455">
        <v>71.727773823736229</v>
      </c>
      <c r="N324" s="420">
        <v>-71.727773823736229</v>
      </c>
      <c r="T324" s="415">
        <f t="shared" ref="T324:T387" si="47">(G324-$R$3)/($Q$3-$R$3)</f>
        <v>0</v>
      </c>
      <c r="U324" s="416">
        <f t="shared" ref="U324:U387" si="48">(H324-$R$4)/($Q$4-$R$4)</f>
        <v>0</v>
      </c>
      <c r="V324" s="416">
        <f t="shared" ref="V324:V387" si="49">(I324-$R$5)/($Q$5-$R$5)</f>
        <v>0</v>
      </c>
      <c r="W324" s="417">
        <f t="shared" ref="W324:W387" si="50">(J324-$R$7)/($Q$7-$R$7)</f>
        <v>-5.2631578947368474E-2</v>
      </c>
      <c r="X324" s="418">
        <f t="shared" ref="X324:X387" si="51">(K324-$R$8)/($Q$8-$R$8)</f>
        <v>-6.2500000000000014E-2</v>
      </c>
      <c r="Y324" s="419">
        <f t="shared" ref="Y324:Y387" si="52">(L324-$R$9)/($Q$9-$R$9)</f>
        <v>-0.12280701754385966</v>
      </c>
      <c r="Z324" s="419">
        <f t="shared" si="43"/>
        <v>0.16579576426051124</v>
      </c>
      <c r="AB324" s="429">
        <f t="shared" si="46"/>
        <v>0</v>
      </c>
      <c r="AC324" s="430">
        <f t="shared" si="46"/>
        <v>0</v>
      </c>
      <c r="AD324" s="430">
        <f t="shared" si="46"/>
        <v>0</v>
      </c>
      <c r="AE324" s="432">
        <f t="shared" si="46"/>
        <v>0</v>
      </c>
      <c r="AF324" s="433">
        <f t="shared" si="46"/>
        <v>0</v>
      </c>
      <c r="AG324" s="434">
        <f t="shared" si="46"/>
        <v>0</v>
      </c>
      <c r="AH324" s="434">
        <f t="shared" si="46"/>
        <v>0.16579576426051124</v>
      </c>
    </row>
    <row r="325" spans="1:34" ht="33" customHeight="1" x14ac:dyDescent="0.35">
      <c r="A325" s="413" t="s">
        <v>736</v>
      </c>
      <c r="B325" s="260" t="s">
        <v>13</v>
      </c>
      <c r="C325" s="259" t="s">
        <v>739</v>
      </c>
      <c r="D325" s="260" t="s">
        <v>916</v>
      </c>
      <c r="E325" s="260" t="s">
        <v>740</v>
      </c>
      <c r="F325" s="414"/>
      <c r="G325" s="429">
        <v>0</v>
      </c>
      <c r="H325" s="430">
        <v>0</v>
      </c>
      <c r="I325" s="431">
        <v>0</v>
      </c>
      <c r="J325" s="432">
        <v>4.5454545454545456E-2</v>
      </c>
      <c r="K325" s="433">
        <v>0.1</v>
      </c>
      <c r="L325" s="434">
        <v>0.15789473684210525</v>
      </c>
      <c r="M325" s="435">
        <v>69.238986615391781</v>
      </c>
      <c r="N325" s="420">
        <v>-69.238986615391781</v>
      </c>
      <c r="T325" s="415">
        <f t="shared" si="47"/>
        <v>0</v>
      </c>
      <c r="U325" s="416">
        <f t="shared" si="48"/>
        <v>0</v>
      </c>
      <c r="V325" s="416">
        <f t="shared" si="49"/>
        <v>0</v>
      </c>
      <c r="W325" s="417">
        <f t="shared" si="50"/>
        <v>-0.10526315789473691</v>
      </c>
      <c r="X325" s="418">
        <f t="shared" si="51"/>
        <v>-0.125</v>
      </c>
      <c r="Y325" s="419">
        <f t="shared" si="52"/>
        <v>-0.12280701754385966</v>
      </c>
      <c r="Z325" s="419">
        <f t="shared" ref="Z325:Z388" si="53">(N325-$R$11)/($Q$11-$R$11)</f>
        <v>0.18891799279206051</v>
      </c>
      <c r="AB325" s="429">
        <f t="shared" si="46"/>
        <v>0</v>
      </c>
      <c r="AC325" s="430">
        <f t="shared" si="46"/>
        <v>0</v>
      </c>
      <c r="AD325" s="430">
        <f t="shared" si="46"/>
        <v>0</v>
      </c>
      <c r="AE325" s="432">
        <f t="shared" si="46"/>
        <v>0</v>
      </c>
      <c r="AF325" s="433">
        <f t="shared" si="46"/>
        <v>0</v>
      </c>
      <c r="AG325" s="434">
        <f t="shared" si="46"/>
        <v>0</v>
      </c>
      <c r="AH325" s="434">
        <f t="shared" si="46"/>
        <v>0.18891799279206051</v>
      </c>
    </row>
    <row r="326" spans="1:34" ht="33" customHeight="1" x14ac:dyDescent="0.35">
      <c r="A326" s="413" t="s">
        <v>736</v>
      </c>
      <c r="B326" s="260" t="s">
        <v>16</v>
      </c>
      <c r="C326" s="259" t="s">
        <v>741</v>
      </c>
      <c r="D326" s="462" t="s">
        <v>915</v>
      </c>
      <c r="E326" s="260" t="s">
        <v>742</v>
      </c>
      <c r="F326" s="414"/>
      <c r="G326" s="429">
        <v>1</v>
      </c>
      <c r="H326" s="430">
        <v>2</v>
      </c>
      <c r="I326" s="431">
        <v>0</v>
      </c>
      <c r="J326" s="432">
        <v>4.5454545454545456E-2</v>
      </c>
      <c r="K326" s="433">
        <v>0.1</v>
      </c>
      <c r="L326" s="434">
        <v>0.15789473684210525</v>
      </c>
      <c r="M326" s="463">
        <v>88.709677419354819</v>
      </c>
      <c r="N326" s="420">
        <v>-88.709677419354819</v>
      </c>
      <c r="T326" s="415">
        <f t="shared" si="47"/>
        <v>0.25</v>
      </c>
      <c r="U326" s="416">
        <f t="shared" si="48"/>
        <v>0.5</v>
      </c>
      <c r="V326" s="416">
        <f t="shared" si="49"/>
        <v>0</v>
      </c>
      <c r="W326" s="417">
        <f t="shared" si="50"/>
        <v>-0.10526315789473691</v>
      </c>
      <c r="X326" s="418">
        <f t="shared" si="51"/>
        <v>-0.125</v>
      </c>
      <c r="Y326" s="419">
        <f t="shared" si="52"/>
        <v>-0.12280701754385966</v>
      </c>
      <c r="Z326" s="419">
        <f t="shared" si="53"/>
        <v>8.0243587654507953E-3</v>
      </c>
      <c r="AB326" s="429">
        <f t="shared" si="46"/>
        <v>0.25</v>
      </c>
      <c r="AC326" s="430">
        <f t="shared" si="46"/>
        <v>0.5</v>
      </c>
      <c r="AD326" s="430">
        <f t="shared" si="46"/>
        <v>0</v>
      </c>
      <c r="AE326" s="432">
        <f t="shared" si="46"/>
        <v>0</v>
      </c>
      <c r="AF326" s="433">
        <f t="shared" si="46"/>
        <v>0</v>
      </c>
      <c r="AG326" s="434">
        <f t="shared" si="46"/>
        <v>0</v>
      </c>
      <c r="AH326" s="434">
        <f t="shared" si="46"/>
        <v>8.0243587654507953E-3</v>
      </c>
    </row>
    <row r="327" spans="1:34" ht="33" customHeight="1" x14ac:dyDescent="0.35">
      <c r="A327" s="413" t="s">
        <v>736</v>
      </c>
      <c r="B327" s="260" t="s">
        <v>19</v>
      </c>
      <c r="C327" s="259" t="s">
        <v>743</v>
      </c>
      <c r="D327" s="461" t="s">
        <v>993</v>
      </c>
      <c r="E327" s="260" t="s">
        <v>744</v>
      </c>
      <c r="F327" s="414" t="s">
        <v>945</v>
      </c>
      <c r="G327" s="429">
        <v>0</v>
      </c>
      <c r="H327" s="430">
        <v>0</v>
      </c>
      <c r="I327" s="431">
        <v>0</v>
      </c>
      <c r="J327" s="432">
        <v>4.5454545454545456E-2</v>
      </c>
      <c r="K327" s="433">
        <v>0.05</v>
      </c>
      <c r="L327" s="434">
        <v>5.2631578947368418E-2</v>
      </c>
      <c r="M327" s="435">
        <v>67.902428091968488</v>
      </c>
      <c r="N327" s="420">
        <v>-67.902428091968488</v>
      </c>
      <c r="T327" s="415">
        <f t="shared" si="47"/>
        <v>0</v>
      </c>
      <c r="U327" s="416">
        <f t="shared" si="48"/>
        <v>0</v>
      </c>
      <c r="V327" s="416">
        <f t="shared" si="49"/>
        <v>0</v>
      </c>
      <c r="W327" s="417">
        <f t="shared" si="50"/>
        <v>-0.10526315789473691</v>
      </c>
      <c r="X327" s="418">
        <f t="shared" si="51"/>
        <v>-0.18750000000000003</v>
      </c>
      <c r="Y327" s="419">
        <f t="shared" si="52"/>
        <v>-0.26315789473684209</v>
      </c>
      <c r="Z327" s="419">
        <f t="shared" si="53"/>
        <v>0.20133537083095723</v>
      </c>
      <c r="AB327" s="429">
        <f t="shared" si="46"/>
        <v>0</v>
      </c>
      <c r="AC327" s="430">
        <f t="shared" si="46"/>
        <v>0</v>
      </c>
      <c r="AD327" s="430">
        <f t="shared" si="46"/>
        <v>0</v>
      </c>
      <c r="AE327" s="432">
        <f t="shared" si="46"/>
        <v>0</v>
      </c>
      <c r="AF327" s="433">
        <f t="shared" si="46"/>
        <v>0</v>
      </c>
      <c r="AG327" s="434">
        <f t="shared" si="46"/>
        <v>0</v>
      </c>
      <c r="AH327" s="434">
        <f t="shared" si="46"/>
        <v>0.20133537083095723</v>
      </c>
    </row>
    <row r="328" spans="1:34" ht="33" customHeight="1" x14ac:dyDescent="0.35">
      <c r="A328" s="413" t="s">
        <v>736</v>
      </c>
      <c r="B328" s="260" t="s">
        <v>23</v>
      </c>
      <c r="C328" s="259" t="s">
        <v>745</v>
      </c>
      <c r="D328" s="461" t="s">
        <v>993</v>
      </c>
      <c r="E328" s="260" t="s">
        <v>746</v>
      </c>
      <c r="F328" s="414" t="s">
        <v>959</v>
      </c>
      <c r="G328" s="429">
        <v>0</v>
      </c>
      <c r="H328" s="430">
        <v>0</v>
      </c>
      <c r="I328" s="431">
        <v>0</v>
      </c>
      <c r="J328" s="452">
        <v>4.5454545454545456E-2</v>
      </c>
      <c r="K328" s="453">
        <v>0.05</v>
      </c>
      <c r="L328" s="454">
        <v>0.10526315789473684</v>
      </c>
      <c r="M328" s="455">
        <v>116.03150921151327</v>
      </c>
      <c r="N328" s="420">
        <v>-116.03150921151327</v>
      </c>
      <c r="T328" s="415">
        <f t="shared" si="47"/>
        <v>0</v>
      </c>
      <c r="U328" s="416">
        <f t="shared" si="48"/>
        <v>0</v>
      </c>
      <c r="V328" s="416">
        <f t="shared" si="49"/>
        <v>0</v>
      </c>
      <c r="W328" s="417">
        <f t="shared" si="50"/>
        <v>-0.10526315789473691</v>
      </c>
      <c r="X328" s="418">
        <f t="shared" si="51"/>
        <v>-0.18750000000000003</v>
      </c>
      <c r="Y328" s="419">
        <f t="shared" si="52"/>
        <v>-0.19298245614035089</v>
      </c>
      <c r="Z328" s="419">
        <f t="shared" si="53"/>
        <v>-0.245810776870381</v>
      </c>
      <c r="AB328" s="429">
        <f t="shared" si="46"/>
        <v>0</v>
      </c>
      <c r="AC328" s="430">
        <f t="shared" si="46"/>
        <v>0</v>
      </c>
      <c r="AD328" s="430">
        <f t="shared" si="46"/>
        <v>0</v>
      </c>
      <c r="AE328" s="432">
        <f t="shared" si="46"/>
        <v>0</v>
      </c>
      <c r="AF328" s="433">
        <f t="shared" si="46"/>
        <v>0</v>
      </c>
      <c r="AG328" s="434">
        <f t="shared" si="46"/>
        <v>0</v>
      </c>
      <c r="AH328" s="434">
        <f t="shared" si="46"/>
        <v>0</v>
      </c>
    </row>
    <row r="329" spans="1:34" ht="33" customHeight="1" x14ac:dyDescent="0.35">
      <c r="A329" s="413" t="s">
        <v>736</v>
      </c>
      <c r="B329" s="260" t="s">
        <v>26</v>
      </c>
      <c r="C329" s="259" t="s">
        <v>747</v>
      </c>
      <c r="D329" s="260" t="s">
        <v>919</v>
      </c>
      <c r="E329" s="260" t="s">
        <v>748</v>
      </c>
      <c r="F329" s="414"/>
      <c r="G329" s="429">
        <v>3</v>
      </c>
      <c r="H329" s="430">
        <v>4</v>
      </c>
      <c r="I329" s="431">
        <v>4</v>
      </c>
      <c r="J329" s="432">
        <v>0</v>
      </c>
      <c r="K329" s="433">
        <v>0.1</v>
      </c>
      <c r="L329" s="434">
        <v>0.15789473684210525</v>
      </c>
      <c r="M329" s="435">
        <v>80.71037209421911</v>
      </c>
      <c r="N329" s="420">
        <v>-80.71037209421911</v>
      </c>
      <c r="T329" s="415">
        <f t="shared" si="47"/>
        <v>0.75</v>
      </c>
      <c r="U329" s="416">
        <f t="shared" si="48"/>
        <v>1</v>
      </c>
      <c r="V329" s="416">
        <f t="shared" si="49"/>
        <v>1</v>
      </c>
      <c r="W329" s="417">
        <f t="shared" si="50"/>
        <v>-0.15789473684210534</v>
      </c>
      <c r="X329" s="418">
        <f t="shared" si="51"/>
        <v>-0.125</v>
      </c>
      <c r="Y329" s="419">
        <f t="shared" si="52"/>
        <v>-0.12280701754385966</v>
      </c>
      <c r="Z329" s="419">
        <f t="shared" si="53"/>
        <v>8.2342390134819768E-2</v>
      </c>
      <c r="AB329" s="429">
        <f t="shared" si="46"/>
        <v>0.75</v>
      </c>
      <c r="AC329" s="430">
        <f t="shared" si="46"/>
        <v>1</v>
      </c>
      <c r="AD329" s="430">
        <f t="shared" si="46"/>
        <v>1</v>
      </c>
      <c r="AE329" s="432">
        <f t="shared" si="46"/>
        <v>0</v>
      </c>
      <c r="AF329" s="433">
        <f t="shared" si="46"/>
        <v>0</v>
      </c>
      <c r="AG329" s="434">
        <f t="shared" si="46"/>
        <v>0</v>
      </c>
      <c r="AH329" s="434">
        <f t="shared" si="46"/>
        <v>8.2342390134819768E-2</v>
      </c>
    </row>
    <row r="330" spans="1:34" ht="33" customHeight="1" x14ac:dyDescent="0.35">
      <c r="A330" s="413" t="s">
        <v>736</v>
      </c>
      <c r="B330" s="260" t="s">
        <v>29</v>
      </c>
      <c r="C330" s="259" t="s">
        <v>749</v>
      </c>
      <c r="D330" s="260" t="s">
        <v>918</v>
      </c>
      <c r="E330" s="260" t="s">
        <v>750</v>
      </c>
      <c r="F330" s="414"/>
      <c r="G330" s="429">
        <v>0</v>
      </c>
      <c r="H330" s="430">
        <v>2</v>
      </c>
      <c r="I330" s="431">
        <v>4</v>
      </c>
      <c r="J330" s="432">
        <v>9.0909090909090912E-2</v>
      </c>
      <c r="K330" s="433">
        <v>0.1</v>
      </c>
      <c r="L330" s="434">
        <v>0.15789473684210525</v>
      </c>
      <c r="M330" s="435">
        <v>66.317158785078675</v>
      </c>
      <c r="N330" s="420">
        <v>-66.317158785078675</v>
      </c>
      <c r="T330" s="415">
        <f t="shared" si="47"/>
        <v>0</v>
      </c>
      <c r="U330" s="416">
        <f t="shared" si="48"/>
        <v>0.5</v>
      </c>
      <c r="V330" s="416">
        <f t="shared" si="49"/>
        <v>1</v>
      </c>
      <c r="W330" s="417">
        <f t="shared" si="50"/>
        <v>-5.2631578947368474E-2</v>
      </c>
      <c r="X330" s="418">
        <f t="shared" si="51"/>
        <v>-0.125</v>
      </c>
      <c r="Y330" s="419">
        <f t="shared" si="52"/>
        <v>-0.12280701754385966</v>
      </c>
      <c r="Z330" s="419">
        <f t="shared" si="53"/>
        <v>0.2160634114907049</v>
      </c>
      <c r="AB330" s="429">
        <f t="shared" si="46"/>
        <v>0</v>
      </c>
      <c r="AC330" s="430">
        <f t="shared" si="46"/>
        <v>0.5</v>
      </c>
      <c r="AD330" s="430">
        <f t="shared" si="46"/>
        <v>1</v>
      </c>
      <c r="AE330" s="432">
        <f t="shared" si="46"/>
        <v>0</v>
      </c>
      <c r="AF330" s="433">
        <f t="shared" si="46"/>
        <v>0</v>
      </c>
      <c r="AG330" s="434">
        <f t="shared" si="46"/>
        <v>0</v>
      </c>
      <c r="AH330" s="434">
        <f t="shared" si="46"/>
        <v>0.2160634114907049</v>
      </c>
    </row>
    <row r="331" spans="1:34" ht="33" customHeight="1" x14ac:dyDescent="0.35">
      <c r="A331" s="413" t="s">
        <v>736</v>
      </c>
      <c r="B331" s="260" t="s">
        <v>32</v>
      </c>
      <c r="C331" s="259" t="s">
        <v>751</v>
      </c>
      <c r="D331" s="260" t="s">
        <v>918</v>
      </c>
      <c r="E331" s="260" t="s">
        <v>752</v>
      </c>
      <c r="F331" s="414"/>
      <c r="G331" s="429">
        <v>0</v>
      </c>
      <c r="H331" s="430">
        <v>0</v>
      </c>
      <c r="I331" s="431">
        <v>0</v>
      </c>
      <c r="J331" s="452">
        <v>9.0909090909090912E-2</v>
      </c>
      <c r="K331" s="453">
        <v>0.05</v>
      </c>
      <c r="L331" s="454">
        <v>0.21052631578947367</v>
      </c>
      <c r="M331" s="455">
        <v>64.158212456821161</v>
      </c>
      <c r="N331" s="420">
        <v>-64.158212456821161</v>
      </c>
      <c r="T331" s="415">
        <f t="shared" si="47"/>
        <v>0</v>
      </c>
      <c r="U331" s="416">
        <f t="shared" si="48"/>
        <v>0</v>
      </c>
      <c r="V331" s="416">
        <f t="shared" si="49"/>
        <v>0</v>
      </c>
      <c r="W331" s="417">
        <f t="shared" si="50"/>
        <v>-5.2631578947368474E-2</v>
      </c>
      <c r="X331" s="418">
        <f t="shared" si="51"/>
        <v>-0.18750000000000003</v>
      </c>
      <c r="Y331" s="419">
        <f t="shared" si="52"/>
        <v>-5.2631578947368439E-2</v>
      </c>
      <c r="Z331" s="419">
        <f t="shared" si="53"/>
        <v>0.23612123331731508</v>
      </c>
      <c r="AB331" s="429">
        <f t="shared" si="46"/>
        <v>0</v>
      </c>
      <c r="AC331" s="430">
        <f t="shared" si="46"/>
        <v>0</v>
      </c>
      <c r="AD331" s="430">
        <f t="shared" si="46"/>
        <v>0</v>
      </c>
      <c r="AE331" s="432">
        <f t="shared" si="46"/>
        <v>0</v>
      </c>
      <c r="AF331" s="433">
        <f t="shared" si="46"/>
        <v>0</v>
      </c>
      <c r="AG331" s="434">
        <f t="shared" si="46"/>
        <v>0</v>
      </c>
      <c r="AH331" s="434">
        <f t="shared" si="46"/>
        <v>0.23612123331731508</v>
      </c>
    </row>
    <row r="332" spans="1:34" ht="33" customHeight="1" x14ac:dyDescent="0.35">
      <c r="A332" s="413" t="s">
        <v>736</v>
      </c>
      <c r="B332" s="260" t="s">
        <v>35</v>
      </c>
      <c r="C332" s="259" t="s">
        <v>753</v>
      </c>
      <c r="D332" s="462" t="s">
        <v>915</v>
      </c>
      <c r="E332" s="260" t="s">
        <v>754</v>
      </c>
      <c r="F332" s="414"/>
      <c r="G332" s="429">
        <v>2</v>
      </c>
      <c r="H332" s="430">
        <v>4</v>
      </c>
      <c r="I332" s="431">
        <v>4</v>
      </c>
      <c r="J332" s="432">
        <v>4.5454545454545456E-2</v>
      </c>
      <c r="K332" s="433">
        <v>0</v>
      </c>
      <c r="L332" s="434">
        <v>0.10526315789473684</v>
      </c>
      <c r="M332" s="435">
        <v>39.048603600785256</v>
      </c>
      <c r="N332" s="420">
        <v>-39.048603600785256</v>
      </c>
      <c r="T332" s="415">
        <f t="shared" si="47"/>
        <v>0.5</v>
      </c>
      <c r="U332" s="416">
        <f t="shared" si="48"/>
        <v>1</v>
      </c>
      <c r="V332" s="416">
        <f t="shared" si="49"/>
        <v>1</v>
      </c>
      <c r="W332" s="417">
        <f t="shared" si="50"/>
        <v>-0.10526315789473691</v>
      </c>
      <c r="X332" s="418">
        <f t="shared" si="51"/>
        <v>-0.25</v>
      </c>
      <c r="Y332" s="419">
        <f t="shared" si="52"/>
        <v>-0.19298245614035089</v>
      </c>
      <c r="Z332" s="419">
        <f t="shared" si="53"/>
        <v>0.46940357756935208</v>
      </c>
      <c r="AB332" s="429">
        <f t="shared" si="46"/>
        <v>0.5</v>
      </c>
      <c r="AC332" s="430">
        <f t="shared" si="46"/>
        <v>1</v>
      </c>
      <c r="AD332" s="430">
        <f t="shared" si="46"/>
        <v>1</v>
      </c>
      <c r="AE332" s="432">
        <f t="shared" si="46"/>
        <v>0</v>
      </c>
      <c r="AF332" s="433">
        <f t="shared" si="46"/>
        <v>0</v>
      </c>
      <c r="AG332" s="434">
        <f t="shared" si="46"/>
        <v>0</v>
      </c>
      <c r="AH332" s="434">
        <f t="shared" si="46"/>
        <v>0.46940357756935208</v>
      </c>
    </row>
    <row r="333" spans="1:34" ht="33" customHeight="1" x14ac:dyDescent="0.35">
      <c r="A333" s="413" t="s">
        <v>736</v>
      </c>
      <c r="B333" s="260" t="s">
        <v>38</v>
      </c>
      <c r="C333" s="259" t="s">
        <v>755</v>
      </c>
      <c r="D333" s="260" t="s">
        <v>918</v>
      </c>
      <c r="E333" s="260" t="s">
        <v>756</v>
      </c>
      <c r="F333" s="414"/>
      <c r="G333" s="429">
        <v>0</v>
      </c>
      <c r="H333" s="430">
        <v>0</v>
      </c>
      <c r="I333" s="431">
        <v>0</v>
      </c>
      <c r="J333" s="432">
        <v>0.13636363636363635</v>
      </c>
      <c r="K333" s="433">
        <v>0.1</v>
      </c>
      <c r="L333" s="434">
        <v>0.10526315789473684</v>
      </c>
      <c r="M333" s="435">
        <v>77.488857801485864</v>
      </c>
      <c r="N333" s="420">
        <v>-77.488857801485864</v>
      </c>
      <c r="T333" s="415">
        <f t="shared" si="47"/>
        <v>0</v>
      </c>
      <c r="U333" s="416">
        <f t="shared" si="48"/>
        <v>0</v>
      </c>
      <c r="V333" s="416">
        <f t="shared" si="49"/>
        <v>0</v>
      </c>
      <c r="W333" s="417">
        <f t="shared" si="50"/>
        <v>-6.4276069846719592E-17</v>
      </c>
      <c r="X333" s="418">
        <f t="shared" si="51"/>
        <v>-0.125</v>
      </c>
      <c r="Y333" s="419">
        <f t="shared" si="52"/>
        <v>-0.19298245614035089</v>
      </c>
      <c r="Z333" s="419">
        <f t="shared" si="53"/>
        <v>0.11227206409187156</v>
      </c>
      <c r="AB333" s="429">
        <f t="shared" si="46"/>
        <v>0</v>
      </c>
      <c r="AC333" s="430">
        <f t="shared" si="46"/>
        <v>0</v>
      </c>
      <c r="AD333" s="430">
        <f t="shared" si="46"/>
        <v>0</v>
      </c>
      <c r="AE333" s="432">
        <f t="shared" si="46"/>
        <v>0</v>
      </c>
      <c r="AF333" s="433">
        <f t="shared" si="46"/>
        <v>0</v>
      </c>
      <c r="AG333" s="434">
        <f t="shared" si="46"/>
        <v>0</v>
      </c>
      <c r="AH333" s="434">
        <f t="shared" si="46"/>
        <v>0.11227206409187156</v>
      </c>
    </row>
    <row r="334" spans="1:34" ht="33" customHeight="1" x14ac:dyDescent="0.35">
      <c r="A334" s="413" t="s">
        <v>736</v>
      </c>
      <c r="B334" s="260" t="s">
        <v>41</v>
      </c>
      <c r="C334" s="259" t="s">
        <v>757</v>
      </c>
      <c r="D334" s="260" t="s">
        <v>918</v>
      </c>
      <c r="E334" s="260" t="s">
        <v>758</v>
      </c>
      <c r="F334" s="414"/>
      <c r="G334" s="429">
        <v>0</v>
      </c>
      <c r="H334" s="430">
        <v>0</v>
      </c>
      <c r="I334" s="431">
        <v>0</v>
      </c>
      <c r="J334" s="452">
        <v>4.5454545454545456E-2</v>
      </c>
      <c r="K334" s="453">
        <v>0.1</v>
      </c>
      <c r="L334" s="454">
        <v>0.10526315789473684</v>
      </c>
      <c r="M334" s="455">
        <v>71.511847981311107</v>
      </c>
      <c r="N334" s="420">
        <v>-71.511847981311107</v>
      </c>
      <c r="T334" s="415">
        <f t="shared" si="47"/>
        <v>0</v>
      </c>
      <c r="U334" s="416">
        <f t="shared" si="48"/>
        <v>0</v>
      </c>
      <c r="V334" s="416">
        <f t="shared" si="49"/>
        <v>0</v>
      </c>
      <c r="W334" s="417">
        <f t="shared" si="50"/>
        <v>-0.10526315789473691</v>
      </c>
      <c r="X334" s="418">
        <f t="shared" si="51"/>
        <v>-0.125</v>
      </c>
      <c r="Y334" s="419">
        <f t="shared" si="52"/>
        <v>-0.19298245614035089</v>
      </c>
      <c r="Z334" s="419">
        <f t="shared" si="53"/>
        <v>0.1678018363978484</v>
      </c>
      <c r="AB334" s="429">
        <f t="shared" si="46"/>
        <v>0</v>
      </c>
      <c r="AC334" s="430">
        <f t="shared" si="46"/>
        <v>0</v>
      </c>
      <c r="AD334" s="430">
        <f t="shared" si="46"/>
        <v>0</v>
      </c>
      <c r="AE334" s="432">
        <f t="shared" si="46"/>
        <v>0</v>
      </c>
      <c r="AF334" s="433">
        <f t="shared" si="46"/>
        <v>0</v>
      </c>
      <c r="AG334" s="434">
        <f t="shared" si="46"/>
        <v>0</v>
      </c>
      <c r="AH334" s="434">
        <f t="shared" si="46"/>
        <v>0.1678018363978484</v>
      </c>
    </row>
    <row r="335" spans="1:34" ht="33" customHeight="1" x14ac:dyDescent="0.35">
      <c r="A335" s="413" t="s">
        <v>736</v>
      </c>
      <c r="B335" s="260" t="s">
        <v>44</v>
      </c>
      <c r="C335" s="259" t="s">
        <v>759</v>
      </c>
      <c r="D335" s="260" t="s">
        <v>916</v>
      </c>
      <c r="E335" s="260" t="s">
        <v>760</v>
      </c>
      <c r="F335" s="414"/>
      <c r="G335" s="429">
        <v>0</v>
      </c>
      <c r="H335" s="430">
        <v>0</v>
      </c>
      <c r="I335" s="431">
        <v>0</v>
      </c>
      <c r="J335" s="452">
        <v>9.0909090909090912E-2</v>
      </c>
      <c r="K335" s="453">
        <v>0.05</v>
      </c>
      <c r="L335" s="454">
        <v>0.15789473684210525</v>
      </c>
      <c r="M335" s="455">
        <v>66.971995626494817</v>
      </c>
      <c r="N335" s="420">
        <v>-66.971995626494817</v>
      </c>
      <c r="T335" s="415">
        <f t="shared" si="47"/>
        <v>0</v>
      </c>
      <c r="U335" s="416">
        <f t="shared" si="48"/>
        <v>0</v>
      </c>
      <c r="V335" s="416">
        <f t="shared" si="49"/>
        <v>0</v>
      </c>
      <c r="W335" s="417">
        <f t="shared" si="50"/>
        <v>-5.2631578947368474E-2</v>
      </c>
      <c r="X335" s="418">
        <f t="shared" si="51"/>
        <v>-0.18750000000000003</v>
      </c>
      <c r="Y335" s="419">
        <f t="shared" si="52"/>
        <v>-0.12280701754385966</v>
      </c>
      <c r="Z335" s="419">
        <f t="shared" si="53"/>
        <v>0.20997961009244318</v>
      </c>
      <c r="AB335" s="429">
        <f t="shared" si="46"/>
        <v>0</v>
      </c>
      <c r="AC335" s="430">
        <f t="shared" si="46"/>
        <v>0</v>
      </c>
      <c r="AD335" s="430">
        <f t="shared" si="46"/>
        <v>0</v>
      </c>
      <c r="AE335" s="432">
        <f t="shared" si="46"/>
        <v>0</v>
      </c>
      <c r="AF335" s="433">
        <f t="shared" si="46"/>
        <v>0</v>
      </c>
      <c r="AG335" s="434">
        <f t="shared" si="46"/>
        <v>0</v>
      </c>
      <c r="AH335" s="434">
        <f t="shared" si="46"/>
        <v>0.20997961009244318</v>
      </c>
    </row>
    <row r="336" spans="1:34" ht="33" customHeight="1" x14ac:dyDescent="0.35">
      <c r="A336" s="413" t="s">
        <v>736</v>
      </c>
      <c r="B336" s="260" t="s">
        <v>47</v>
      </c>
      <c r="C336" s="259" t="s">
        <v>761</v>
      </c>
      <c r="D336" s="260" t="s">
        <v>916</v>
      </c>
      <c r="E336" s="260" t="s">
        <v>762</v>
      </c>
      <c r="F336" s="414"/>
      <c r="G336" s="429">
        <v>0</v>
      </c>
      <c r="H336" s="430">
        <v>0</v>
      </c>
      <c r="I336" s="431">
        <v>0</v>
      </c>
      <c r="J336" s="432">
        <v>0.27272727272727271</v>
      </c>
      <c r="K336" s="433">
        <v>0.4</v>
      </c>
      <c r="L336" s="434">
        <v>0.63157894736842102</v>
      </c>
      <c r="M336" s="435">
        <v>2.2573903216654649</v>
      </c>
      <c r="N336" s="420">
        <v>-2.2573903216654649</v>
      </c>
      <c r="T336" s="415">
        <f t="shared" si="47"/>
        <v>0</v>
      </c>
      <c r="U336" s="416">
        <f t="shared" si="48"/>
        <v>0</v>
      </c>
      <c r="V336" s="416">
        <f t="shared" si="49"/>
        <v>0</v>
      </c>
      <c r="W336" s="417">
        <f t="shared" si="50"/>
        <v>0.1578947368421052</v>
      </c>
      <c r="X336" s="418">
        <f t="shared" si="51"/>
        <v>0.25</v>
      </c>
      <c r="Y336" s="419">
        <f t="shared" si="52"/>
        <v>0.50877192982456132</v>
      </c>
      <c r="Z336" s="419">
        <f t="shared" si="53"/>
        <v>0.81121457633234562</v>
      </c>
      <c r="AB336" s="429">
        <f t="shared" si="46"/>
        <v>0</v>
      </c>
      <c r="AC336" s="430">
        <f t="shared" si="46"/>
        <v>0</v>
      </c>
      <c r="AD336" s="430">
        <f t="shared" si="46"/>
        <v>0</v>
      </c>
      <c r="AE336" s="432">
        <f t="shared" si="46"/>
        <v>0.1578947368421052</v>
      </c>
      <c r="AF336" s="433">
        <f t="shared" si="46"/>
        <v>0.25</v>
      </c>
      <c r="AG336" s="434">
        <f t="shared" si="46"/>
        <v>0.50877192982456132</v>
      </c>
      <c r="AH336" s="434">
        <f t="shared" si="46"/>
        <v>0.81121457633234562</v>
      </c>
    </row>
    <row r="337" spans="1:34" ht="33" customHeight="1" x14ac:dyDescent="0.35">
      <c r="A337" s="413" t="s">
        <v>736</v>
      </c>
      <c r="B337" s="260" t="s">
        <v>50</v>
      </c>
      <c r="C337" s="259" t="s">
        <v>763</v>
      </c>
      <c r="D337" s="461" t="s">
        <v>917</v>
      </c>
      <c r="E337" s="260" t="s">
        <v>764</v>
      </c>
      <c r="F337" s="414" t="s">
        <v>961</v>
      </c>
      <c r="G337" s="429">
        <v>0</v>
      </c>
      <c r="H337" s="430">
        <v>0</v>
      </c>
      <c r="I337" s="431">
        <v>0</v>
      </c>
      <c r="J337" s="432">
        <v>0.13636363636363635</v>
      </c>
      <c r="K337" s="433">
        <v>0.15</v>
      </c>
      <c r="L337" s="434">
        <v>0.10526315789473684</v>
      </c>
      <c r="M337" s="435">
        <v>94.950405717360823</v>
      </c>
      <c r="N337" s="420">
        <v>-94.950405717360823</v>
      </c>
      <c r="T337" s="415">
        <f t="shared" si="47"/>
        <v>0</v>
      </c>
      <c r="U337" s="416">
        <f t="shared" si="48"/>
        <v>0</v>
      </c>
      <c r="V337" s="416">
        <f t="shared" si="49"/>
        <v>0</v>
      </c>
      <c r="W337" s="417">
        <f t="shared" si="50"/>
        <v>-6.4276069846719592E-17</v>
      </c>
      <c r="X337" s="418">
        <f t="shared" si="51"/>
        <v>-6.2500000000000014E-2</v>
      </c>
      <c r="Y337" s="419">
        <f t="shared" si="52"/>
        <v>-0.19298245614035089</v>
      </c>
      <c r="Z337" s="419">
        <f t="shared" si="53"/>
        <v>-4.99555060562549E-2</v>
      </c>
      <c r="AB337" s="429">
        <f t="shared" si="46"/>
        <v>0</v>
      </c>
      <c r="AC337" s="430">
        <f t="shared" si="46"/>
        <v>0</v>
      </c>
      <c r="AD337" s="430">
        <f t="shared" si="46"/>
        <v>0</v>
      </c>
      <c r="AE337" s="432">
        <f t="shared" si="46"/>
        <v>0</v>
      </c>
      <c r="AF337" s="433">
        <f t="shared" si="46"/>
        <v>0</v>
      </c>
      <c r="AG337" s="434">
        <f t="shared" si="46"/>
        <v>0</v>
      </c>
      <c r="AH337" s="434">
        <f t="shared" si="46"/>
        <v>0</v>
      </c>
    </row>
    <row r="338" spans="1:34" ht="33" customHeight="1" x14ac:dyDescent="0.35">
      <c r="A338" s="413" t="s">
        <v>736</v>
      </c>
      <c r="B338" s="260" t="s">
        <v>53</v>
      </c>
      <c r="C338" s="259" t="s">
        <v>765</v>
      </c>
      <c r="D338" s="260" t="s">
        <v>919</v>
      </c>
      <c r="E338" s="260" t="s">
        <v>766</v>
      </c>
      <c r="F338" s="414"/>
      <c r="G338" s="429">
        <v>0</v>
      </c>
      <c r="H338" s="430">
        <v>0</v>
      </c>
      <c r="I338" s="431">
        <v>0</v>
      </c>
      <c r="J338" s="432">
        <v>0.45454545454545453</v>
      </c>
      <c r="K338" s="433">
        <v>0.05</v>
      </c>
      <c r="L338" s="434">
        <v>0.26315789473684209</v>
      </c>
      <c r="M338" s="435">
        <v>67.855153203342653</v>
      </c>
      <c r="N338" s="420">
        <v>-67.855153203342653</v>
      </c>
      <c r="T338" s="415">
        <f t="shared" si="47"/>
        <v>0</v>
      </c>
      <c r="U338" s="416">
        <f t="shared" si="48"/>
        <v>0</v>
      </c>
      <c r="V338" s="416">
        <f t="shared" si="49"/>
        <v>0</v>
      </c>
      <c r="W338" s="417">
        <f t="shared" si="50"/>
        <v>0.36842105263157893</v>
      </c>
      <c r="X338" s="418">
        <f t="shared" si="51"/>
        <v>-0.18750000000000003</v>
      </c>
      <c r="Y338" s="419">
        <f t="shared" si="52"/>
        <v>1.7543859649122789E-2</v>
      </c>
      <c r="Z338" s="419">
        <f t="shared" si="53"/>
        <v>0.20177458105147955</v>
      </c>
      <c r="AB338" s="429">
        <f t="shared" si="46"/>
        <v>0</v>
      </c>
      <c r="AC338" s="430">
        <f t="shared" si="46"/>
        <v>0</v>
      </c>
      <c r="AD338" s="430">
        <f t="shared" si="46"/>
        <v>0</v>
      </c>
      <c r="AE338" s="432">
        <f t="shared" si="46"/>
        <v>0.36842105263157893</v>
      </c>
      <c r="AF338" s="433">
        <f t="shared" si="46"/>
        <v>0</v>
      </c>
      <c r="AG338" s="434">
        <f t="shared" si="46"/>
        <v>1.7543859649122789E-2</v>
      </c>
      <c r="AH338" s="434">
        <f t="shared" si="46"/>
        <v>0.20177458105147955</v>
      </c>
    </row>
    <row r="339" spans="1:34" ht="33" customHeight="1" x14ac:dyDescent="0.35">
      <c r="A339" s="413" t="s">
        <v>736</v>
      </c>
      <c r="B339" s="260" t="s">
        <v>56</v>
      </c>
      <c r="C339" s="259" t="s">
        <v>767</v>
      </c>
      <c r="D339" s="260" t="s">
        <v>919</v>
      </c>
      <c r="E339" s="260" t="s">
        <v>768</v>
      </c>
      <c r="F339" s="414"/>
      <c r="G339" s="429">
        <v>0</v>
      </c>
      <c r="H339" s="430">
        <v>0</v>
      </c>
      <c r="I339" s="431">
        <v>0</v>
      </c>
      <c r="J339" s="432">
        <v>4.5454545454545456E-2</v>
      </c>
      <c r="K339" s="433">
        <v>0.05</v>
      </c>
      <c r="L339" s="434">
        <v>0.15789473684210525</v>
      </c>
      <c r="M339" s="435">
        <v>85.904838364741863</v>
      </c>
      <c r="N339" s="420">
        <v>-85.904838364741863</v>
      </c>
      <c r="T339" s="415">
        <f t="shared" si="47"/>
        <v>0</v>
      </c>
      <c r="U339" s="416">
        <f t="shared" si="48"/>
        <v>0</v>
      </c>
      <c r="V339" s="416">
        <f t="shared" si="49"/>
        <v>0</v>
      </c>
      <c r="W339" s="417">
        <f t="shared" si="50"/>
        <v>-0.10526315789473691</v>
      </c>
      <c r="X339" s="418">
        <f t="shared" si="51"/>
        <v>-0.18750000000000003</v>
      </c>
      <c r="Y339" s="419">
        <f t="shared" si="52"/>
        <v>-0.12280701754385966</v>
      </c>
      <c r="Z339" s="419">
        <f t="shared" si="53"/>
        <v>3.4082886146791933E-2</v>
      </c>
      <c r="AB339" s="429">
        <f t="shared" si="46"/>
        <v>0</v>
      </c>
      <c r="AC339" s="430">
        <f t="shared" si="46"/>
        <v>0</v>
      </c>
      <c r="AD339" s="430">
        <f t="shared" si="46"/>
        <v>0</v>
      </c>
      <c r="AE339" s="432">
        <f t="shared" si="46"/>
        <v>0</v>
      </c>
      <c r="AF339" s="433">
        <f t="shared" si="46"/>
        <v>0</v>
      </c>
      <c r="AG339" s="434">
        <f t="shared" si="46"/>
        <v>0</v>
      </c>
      <c r="AH339" s="434">
        <f t="shared" si="46"/>
        <v>3.4082886146791933E-2</v>
      </c>
    </row>
    <row r="340" spans="1:34" ht="33" customHeight="1" x14ac:dyDescent="0.35">
      <c r="A340" s="413" t="s">
        <v>736</v>
      </c>
      <c r="B340" s="260" t="s">
        <v>59</v>
      </c>
      <c r="C340" s="259" t="s">
        <v>769</v>
      </c>
      <c r="D340" s="260" t="s">
        <v>918</v>
      </c>
      <c r="E340" s="260" t="s">
        <v>770</v>
      </c>
      <c r="F340" s="414"/>
      <c r="G340" s="429">
        <v>0</v>
      </c>
      <c r="H340" s="430">
        <v>0</v>
      </c>
      <c r="I340" s="431">
        <v>0</v>
      </c>
      <c r="J340" s="432">
        <v>0</v>
      </c>
      <c r="K340" s="433">
        <v>0.1</v>
      </c>
      <c r="L340" s="434">
        <v>0.21052631578947367</v>
      </c>
      <c r="M340" s="435">
        <v>57.974000620327949</v>
      </c>
      <c r="N340" s="420">
        <v>-57.974000620327949</v>
      </c>
      <c r="T340" s="415">
        <f t="shared" si="47"/>
        <v>0</v>
      </c>
      <c r="U340" s="416">
        <f t="shared" si="48"/>
        <v>0</v>
      </c>
      <c r="V340" s="416">
        <f t="shared" si="49"/>
        <v>0</v>
      </c>
      <c r="W340" s="417">
        <f t="shared" si="50"/>
        <v>-0.15789473684210534</v>
      </c>
      <c r="X340" s="418">
        <f t="shared" si="51"/>
        <v>-0.125</v>
      </c>
      <c r="Y340" s="419">
        <f t="shared" si="52"/>
        <v>-5.2631578947368439E-2</v>
      </c>
      <c r="Z340" s="419">
        <f t="shared" si="53"/>
        <v>0.29357602852498871</v>
      </c>
      <c r="AB340" s="429">
        <f t="shared" si="46"/>
        <v>0</v>
      </c>
      <c r="AC340" s="430">
        <f t="shared" si="46"/>
        <v>0</v>
      </c>
      <c r="AD340" s="430">
        <f t="shared" si="46"/>
        <v>0</v>
      </c>
      <c r="AE340" s="432">
        <f t="shared" si="46"/>
        <v>0</v>
      </c>
      <c r="AF340" s="433">
        <f t="shared" si="46"/>
        <v>0</v>
      </c>
      <c r="AG340" s="434">
        <f t="shared" si="46"/>
        <v>0</v>
      </c>
      <c r="AH340" s="434">
        <f t="shared" si="46"/>
        <v>0.29357602852498871</v>
      </c>
    </row>
    <row r="341" spans="1:34" ht="33" customHeight="1" x14ac:dyDescent="0.35">
      <c r="A341" s="413" t="s">
        <v>736</v>
      </c>
      <c r="B341" s="260" t="s">
        <v>62</v>
      </c>
      <c r="C341" s="259" t="s">
        <v>771</v>
      </c>
      <c r="D341" s="260" t="s">
        <v>916</v>
      </c>
      <c r="E341" s="260" t="s">
        <v>772</v>
      </c>
      <c r="F341" s="414"/>
      <c r="G341" s="429">
        <v>0</v>
      </c>
      <c r="H341" s="430">
        <v>0</v>
      </c>
      <c r="I341" s="431">
        <v>0</v>
      </c>
      <c r="J341" s="432">
        <v>0.13636363636363635</v>
      </c>
      <c r="K341" s="433">
        <v>0.05</v>
      </c>
      <c r="L341" s="434">
        <v>5.2631578947368418E-2</v>
      </c>
      <c r="M341" s="435">
        <v>79.304394504792072</v>
      </c>
      <c r="N341" s="420">
        <v>-79.304394504792072</v>
      </c>
      <c r="T341" s="415">
        <f t="shared" si="47"/>
        <v>0</v>
      </c>
      <c r="U341" s="416">
        <f t="shared" si="48"/>
        <v>0</v>
      </c>
      <c r="V341" s="416">
        <f t="shared" si="49"/>
        <v>0</v>
      </c>
      <c r="W341" s="417">
        <f t="shared" si="50"/>
        <v>-6.4276069846719592E-17</v>
      </c>
      <c r="X341" s="418">
        <f t="shared" si="51"/>
        <v>-0.18750000000000003</v>
      </c>
      <c r="Y341" s="419">
        <f t="shared" si="52"/>
        <v>-0.26315789473684209</v>
      </c>
      <c r="Z341" s="419">
        <f t="shared" si="53"/>
        <v>9.5404710217457167E-2</v>
      </c>
      <c r="AB341" s="429">
        <f t="shared" si="46"/>
        <v>0</v>
      </c>
      <c r="AC341" s="430">
        <f t="shared" si="46"/>
        <v>0</v>
      </c>
      <c r="AD341" s="430">
        <f t="shared" si="46"/>
        <v>0</v>
      </c>
      <c r="AE341" s="432">
        <f t="shared" si="46"/>
        <v>0</v>
      </c>
      <c r="AF341" s="433">
        <f t="shared" si="46"/>
        <v>0</v>
      </c>
      <c r="AG341" s="434">
        <f t="shared" si="46"/>
        <v>0</v>
      </c>
      <c r="AH341" s="434">
        <f t="shared" si="46"/>
        <v>9.5404710217457167E-2</v>
      </c>
    </row>
    <row r="342" spans="1:34" ht="33" customHeight="1" x14ac:dyDescent="0.35">
      <c r="A342" s="413" t="s">
        <v>736</v>
      </c>
      <c r="B342" s="260" t="s">
        <v>65</v>
      </c>
      <c r="C342" s="259" t="s">
        <v>773</v>
      </c>
      <c r="D342" s="260" t="s">
        <v>919</v>
      </c>
      <c r="E342" s="260" t="s">
        <v>774</v>
      </c>
      <c r="F342" s="414"/>
      <c r="G342" s="429">
        <v>0</v>
      </c>
      <c r="H342" s="430">
        <v>0</v>
      </c>
      <c r="I342" s="431">
        <v>0</v>
      </c>
      <c r="J342" s="432">
        <v>0.13636363636363635</v>
      </c>
      <c r="K342" s="433">
        <v>0</v>
      </c>
      <c r="L342" s="434">
        <v>5.2631578947368418E-2</v>
      </c>
      <c r="M342" s="435">
        <v>74.054657519975251</v>
      </c>
      <c r="N342" s="420">
        <v>-74.054657519975251</v>
      </c>
      <c r="T342" s="415">
        <f t="shared" si="47"/>
        <v>0</v>
      </c>
      <c r="U342" s="416">
        <f t="shared" si="48"/>
        <v>0</v>
      </c>
      <c r="V342" s="416">
        <f t="shared" si="49"/>
        <v>0</v>
      </c>
      <c r="W342" s="417">
        <f t="shared" si="50"/>
        <v>-6.4276069846719592E-17</v>
      </c>
      <c r="X342" s="418">
        <f t="shared" si="51"/>
        <v>-0.25</v>
      </c>
      <c r="Y342" s="419">
        <f t="shared" si="52"/>
        <v>-0.26315789473684209</v>
      </c>
      <c r="Z342" s="419">
        <f t="shared" si="53"/>
        <v>0.14417771012941316</v>
      </c>
      <c r="AB342" s="429">
        <f t="shared" si="46"/>
        <v>0</v>
      </c>
      <c r="AC342" s="430">
        <f t="shared" si="46"/>
        <v>0</v>
      </c>
      <c r="AD342" s="430">
        <f t="shared" si="46"/>
        <v>0</v>
      </c>
      <c r="AE342" s="432">
        <f t="shared" si="46"/>
        <v>0</v>
      </c>
      <c r="AF342" s="433">
        <f t="shared" si="46"/>
        <v>0</v>
      </c>
      <c r="AG342" s="434">
        <f t="shared" si="46"/>
        <v>0</v>
      </c>
      <c r="AH342" s="434">
        <f t="shared" si="46"/>
        <v>0.14417771012941316</v>
      </c>
    </row>
    <row r="343" spans="1:34" ht="33" customHeight="1" x14ac:dyDescent="0.35">
      <c r="A343" s="413" t="s">
        <v>736</v>
      </c>
      <c r="B343" s="260" t="s">
        <v>68</v>
      </c>
      <c r="C343" s="259" t="s">
        <v>775</v>
      </c>
      <c r="D343" s="260" t="s">
        <v>923</v>
      </c>
      <c r="E343" s="260" t="s">
        <v>776</v>
      </c>
      <c r="F343" s="414"/>
      <c r="G343" s="429">
        <v>3</v>
      </c>
      <c r="H343" s="430">
        <v>4</v>
      </c>
      <c r="I343" s="431">
        <v>4</v>
      </c>
      <c r="J343" s="432">
        <v>0.13636363636363635</v>
      </c>
      <c r="K343" s="433">
        <v>0.1</v>
      </c>
      <c r="L343" s="434">
        <v>0.15789473684210525</v>
      </c>
      <c r="M343" s="435">
        <v>68.096893619405506</v>
      </c>
      <c r="N343" s="420">
        <v>-68.096893619405506</v>
      </c>
      <c r="T343" s="415">
        <f t="shared" si="47"/>
        <v>0.75</v>
      </c>
      <c r="U343" s="416">
        <f t="shared" si="48"/>
        <v>1</v>
      </c>
      <c r="V343" s="416">
        <f t="shared" si="49"/>
        <v>1</v>
      </c>
      <c r="W343" s="417">
        <f t="shared" si="50"/>
        <v>-6.4276069846719592E-17</v>
      </c>
      <c r="X343" s="418">
        <f t="shared" si="51"/>
        <v>-0.125</v>
      </c>
      <c r="Y343" s="419">
        <f t="shared" si="52"/>
        <v>-0.12280701754385966</v>
      </c>
      <c r="Z343" s="419">
        <f t="shared" si="53"/>
        <v>0.19952867705182209</v>
      </c>
      <c r="AB343" s="429">
        <f t="shared" si="46"/>
        <v>0.75</v>
      </c>
      <c r="AC343" s="430">
        <f t="shared" si="46"/>
        <v>1</v>
      </c>
      <c r="AD343" s="430">
        <f t="shared" si="46"/>
        <v>1</v>
      </c>
      <c r="AE343" s="432">
        <f t="shared" si="46"/>
        <v>0</v>
      </c>
      <c r="AF343" s="433">
        <f t="shared" si="46"/>
        <v>0</v>
      </c>
      <c r="AG343" s="434">
        <f t="shared" si="46"/>
        <v>0</v>
      </c>
      <c r="AH343" s="434">
        <f t="shared" si="46"/>
        <v>0.19952867705182209</v>
      </c>
    </row>
    <row r="344" spans="1:34" ht="33" customHeight="1" x14ac:dyDescent="0.35">
      <c r="A344" s="413" t="s">
        <v>736</v>
      </c>
      <c r="B344" s="260" t="s">
        <v>71</v>
      </c>
      <c r="C344" s="259" t="s">
        <v>777</v>
      </c>
      <c r="D344" s="260" t="s">
        <v>937</v>
      </c>
      <c r="E344" s="260" t="s">
        <v>778</v>
      </c>
      <c r="F344" s="414"/>
      <c r="G344" s="429">
        <v>0</v>
      </c>
      <c r="H344" s="430">
        <v>1</v>
      </c>
      <c r="I344" s="431">
        <v>0</v>
      </c>
      <c r="J344" s="432">
        <v>0.2</v>
      </c>
      <c r="K344" s="433">
        <v>0.33333333333333343</v>
      </c>
      <c r="L344" s="434">
        <v>0.5</v>
      </c>
      <c r="M344" s="435">
        <v>55.549564633519793</v>
      </c>
      <c r="N344" s="420">
        <v>-55.549564633519793</v>
      </c>
      <c r="T344" s="415">
        <f t="shared" si="47"/>
        <v>0</v>
      </c>
      <c r="U344" s="416">
        <f t="shared" si="48"/>
        <v>0.25</v>
      </c>
      <c r="V344" s="416">
        <f t="shared" si="49"/>
        <v>0</v>
      </c>
      <c r="W344" s="417">
        <f t="shared" si="50"/>
        <v>7.3684210526315755E-2</v>
      </c>
      <c r="X344" s="418">
        <f t="shared" si="51"/>
        <v>0.16666666666666677</v>
      </c>
      <c r="Y344" s="419">
        <f t="shared" si="52"/>
        <v>0.33333333333333331</v>
      </c>
      <c r="Z344" s="419">
        <f t="shared" si="53"/>
        <v>0.31610039812924295</v>
      </c>
      <c r="AB344" s="429">
        <f t="shared" si="46"/>
        <v>0</v>
      </c>
      <c r="AC344" s="430">
        <f t="shared" si="46"/>
        <v>0.25</v>
      </c>
      <c r="AD344" s="430">
        <f t="shared" si="46"/>
        <v>0</v>
      </c>
      <c r="AE344" s="432">
        <f t="shared" si="46"/>
        <v>7.3684210526315755E-2</v>
      </c>
      <c r="AF344" s="433">
        <f t="shared" si="46"/>
        <v>0.16666666666666677</v>
      </c>
      <c r="AG344" s="434">
        <f t="shared" si="46"/>
        <v>0.33333333333333331</v>
      </c>
      <c r="AH344" s="434">
        <f t="shared" si="46"/>
        <v>0.31610039812924295</v>
      </c>
    </row>
    <row r="345" spans="1:34" ht="33" customHeight="1" x14ac:dyDescent="0.35">
      <c r="A345" s="413" t="s">
        <v>736</v>
      </c>
      <c r="B345" s="260" t="s">
        <v>74</v>
      </c>
      <c r="C345" s="259" t="s">
        <v>779</v>
      </c>
      <c r="D345" s="260" t="s">
        <v>916</v>
      </c>
      <c r="E345" s="260" t="s">
        <v>780</v>
      </c>
      <c r="F345" s="414"/>
      <c r="G345" s="429">
        <v>2</v>
      </c>
      <c r="H345" s="430">
        <v>2</v>
      </c>
      <c r="I345" s="431">
        <v>2</v>
      </c>
      <c r="J345" s="432">
        <v>0.4</v>
      </c>
      <c r="K345" s="433">
        <v>0.5</v>
      </c>
      <c r="L345" s="434">
        <v>0.625</v>
      </c>
      <c r="M345" s="463">
        <v>107.51673767498477</v>
      </c>
      <c r="N345" s="420">
        <v>-107.51673767498477</v>
      </c>
      <c r="T345" s="415">
        <f t="shared" si="47"/>
        <v>0.5</v>
      </c>
      <c r="U345" s="416">
        <f t="shared" si="48"/>
        <v>0.5</v>
      </c>
      <c r="V345" s="416">
        <f t="shared" si="49"/>
        <v>0.5</v>
      </c>
      <c r="W345" s="417">
        <f t="shared" si="50"/>
        <v>0.30526315789473685</v>
      </c>
      <c r="X345" s="418">
        <f t="shared" si="51"/>
        <v>0.37499999999999994</v>
      </c>
      <c r="Y345" s="419">
        <f t="shared" si="52"/>
        <v>0.5</v>
      </c>
      <c r="Z345" s="419">
        <f t="shared" si="53"/>
        <v>-0.16670377539534983</v>
      </c>
      <c r="AB345" s="429">
        <f t="shared" si="46"/>
        <v>0.5</v>
      </c>
      <c r="AC345" s="430">
        <f t="shared" si="46"/>
        <v>0.5</v>
      </c>
      <c r="AD345" s="430">
        <f t="shared" si="46"/>
        <v>0.5</v>
      </c>
      <c r="AE345" s="432">
        <f t="shared" si="46"/>
        <v>0.30526315789473685</v>
      </c>
      <c r="AF345" s="433">
        <f t="shared" si="46"/>
        <v>0.37499999999999994</v>
      </c>
      <c r="AG345" s="434">
        <f t="shared" si="46"/>
        <v>0.5</v>
      </c>
      <c r="AH345" s="434">
        <f t="shared" si="46"/>
        <v>0</v>
      </c>
    </row>
    <row r="346" spans="1:34" ht="33" customHeight="1" x14ac:dyDescent="0.35">
      <c r="A346" s="413" t="s">
        <v>736</v>
      </c>
      <c r="B346" s="260" t="s">
        <v>77</v>
      </c>
      <c r="C346" s="259" t="s">
        <v>781</v>
      </c>
      <c r="D346" s="260" t="s">
        <v>925</v>
      </c>
      <c r="E346" s="260" t="s">
        <v>782</v>
      </c>
      <c r="F346" s="414"/>
      <c r="G346" s="429">
        <v>2</v>
      </c>
      <c r="H346" s="430">
        <v>4</v>
      </c>
      <c r="I346" s="431">
        <v>4</v>
      </c>
      <c r="J346" s="432">
        <v>0.44999999999999996</v>
      </c>
      <c r="K346" s="433">
        <v>0.77777777777777768</v>
      </c>
      <c r="L346" s="434">
        <v>0.75</v>
      </c>
      <c r="M346" s="463">
        <v>74.589166159464384</v>
      </c>
      <c r="N346" s="420">
        <v>-74.589166159464384</v>
      </c>
      <c r="T346" s="415">
        <f t="shared" si="47"/>
        <v>0.5</v>
      </c>
      <c r="U346" s="416">
        <f t="shared" si="48"/>
        <v>1</v>
      </c>
      <c r="V346" s="416">
        <f t="shared" si="49"/>
        <v>1</v>
      </c>
      <c r="W346" s="417">
        <f t="shared" si="50"/>
        <v>0.36315789473684207</v>
      </c>
      <c r="X346" s="418">
        <f t="shared" si="51"/>
        <v>0.7222222222222221</v>
      </c>
      <c r="Y346" s="419">
        <f t="shared" si="52"/>
        <v>0.66666666666666663</v>
      </c>
      <c r="Z346" s="419">
        <f t="shared" si="53"/>
        <v>0.13921182519038838</v>
      </c>
      <c r="AB346" s="429">
        <f t="shared" si="46"/>
        <v>0.5</v>
      </c>
      <c r="AC346" s="430">
        <f t="shared" si="46"/>
        <v>1</v>
      </c>
      <c r="AD346" s="430">
        <f t="shared" si="46"/>
        <v>1</v>
      </c>
      <c r="AE346" s="432">
        <f t="shared" si="46"/>
        <v>0.36315789473684207</v>
      </c>
      <c r="AF346" s="433">
        <f t="shared" si="46"/>
        <v>0.7222222222222221</v>
      </c>
      <c r="AG346" s="434">
        <f t="shared" si="46"/>
        <v>0.66666666666666663</v>
      </c>
      <c r="AH346" s="434">
        <f t="shared" si="46"/>
        <v>0.13921182519038838</v>
      </c>
    </row>
    <row r="347" spans="1:34" ht="33" customHeight="1" x14ac:dyDescent="0.35">
      <c r="A347" s="413" t="s">
        <v>736</v>
      </c>
      <c r="B347" s="260" t="s">
        <v>80</v>
      </c>
      <c r="C347" s="259" t="s">
        <v>783</v>
      </c>
      <c r="D347" s="260" t="s">
        <v>938</v>
      </c>
      <c r="E347" s="260" t="s">
        <v>784</v>
      </c>
      <c r="F347" s="414"/>
      <c r="G347" s="429">
        <v>0</v>
      </c>
      <c r="H347" s="430">
        <v>0</v>
      </c>
      <c r="I347" s="431">
        <v>0</v>
      </c>
      <c r="J347" s="432">
        <v>0.15</v>
      </c>
      <c r="K347" s="433">
        <v>0.22222222222222215</v>
      </c>
      <c r="L347" s="434">
        <v>0.625</v>
      </c>
      <c r="M347" s="435">
        <v>85.459610027855206</v>
      </c>
      <c r="N347" s="420">
        <v>-85.459610027855206</v>
      </c>
      <c r="T347" s="415">
        <f t="shared" si="47"/>
        <v>0</v>
      </c>
      <c r="U347" s="416">
        <f t="shared" si="48"/>
        <v>0</v>
      </c>
      <c r="V347" s="416">
        <f t="shared" si="49"/>
        <v>0</v>
      </c>
      <c r="W347" s="417">
        <f t="shared" si="50"/>
        <v>1.5789473684210468E-2</v>
      </c>
      <c r="X347" s="418">
        <f t="shared" si="51"/>
        <v>2.7777777777777679E-2</v>
      </c>
      <c r="Y347" s="419">
        <f t="shared" si="52"/>
        <v>0.5</v>
      </c>
      <c r="Z347" s="419">
        <f t="shared" si="53"/>
        <v>3.8219307018652234E-2</v>
      </c>
      <c r="AB347" s="429">
        <f t="shared" si="46"/>
        <v>0</v>
      </c>
      <c r="AC347" s="430">
        <f t="shared" si="46"/>
        <v>0</v>
      </c>
      <c r="AD347" s="430">
        <f t="shared" si="46"/>
        <v>0</v>
      </c>
      <c r="AE347" s="432">
        <f t="shared" si="46"/>
        <v>1.5789473684210468E-2</v>
      </c>
      <c r="AF347" s="433">
        <f t="shared" si="46"/>
        <v>2.7777777777777679E-2</v>
      </c>
      <c r="AG347" s="434">
        <f t="shared" si="46"/>
        <v>0.5</v>
      </c>
      <c r="AH347" s="434">
        <f t="shared" si="46"/>
        <v>3.8219307018652234E-2</v>
      </c>
    </row>
    <row r="348" spans="1:34" ht="33" customHeight="1" x14ac:dyDescent="0.35">
      <c r="A348" s="413" t="s">
        <v>736</v>
      </c>
      <c r="B348" s="260" t="s">
        <v>83</v>
      </c>
      <c r="C348" s="259" t="s">
        <v>785</v>
      </c>
      <c r="D348" s="260" t="s">
        <v>919</v>
      </c>
      <c r="E348" s="260" t="s">
        <v>786</v>
      </c>
      <c r="F348" s="414"/>
      <c r="G348" s="429">
        <v>0</v>
      </c>
      <c r="H348" s="430">
        <v>2</v>
      </c>
      <c r="I348" s="431">
        <v>4</v>
      </c>
      <c r="J348" s="432">
        <v>0.75</v>
      </c>
      <c r="K348" s="433">
        <v>0.72222222222222232</v>
      </c>
      <c r="L348" s="434">
        <v>0.75</v>
      </c>
      <c r="M348" s="463">
        <v>46.774193548387082</v>
      </c>
      <c r="N348" s="420">
        <v>-46.774193548387082</v>
      </c>
      <c r="T348" s="415">
        <f t="shared" si="47"/>
        <v>0</v>
      </c>
      <c r="U348" s="416">
        <f t="shared" si="48"/>
        <v>0.5</v>
      </c>
      <c r="V348" s="416">
        <f t="shared" si="49"/>
        <v>1</v>
      </c>
      <c r="W348" s="417">
        <f t="shared" si="50"/>
        <v>0.71052631578947367</v>
      </c>
      <c r="X348" s="418">
        <f t="shared" si="51"/>
        <v>0.6527777777777779</v>
      </c>
      <c r="Y348" s="419">
        <f t="shared" si="52"/>
        <v>0.66666666666666663</v>
      </c>
      <c r="Z348" s="419">
        <f t="shared" si="53"/>
        <v>0.39762851551882167</v>
      </c>
      <c r="AB348" s="429">
        <f t="shared" si="46"/>
        <v>0</v>
      </c>
      <c r="AC348" s="430">
        <f t="shared" si="46"/>
        <v>0.5</v>
      </c>
      <c r="AD348" s="430">
        <f t="shared" si="46"/>
        <v>1</v>
      </c>
      <c r="AE348" s="432">
        <f t="shared" si="46"/>
        <v>0.71052631578947367</v>
      </c>
      <c r="AF348" s="433">
        <f t="shared" si="46"/>
        <v>0.6527777777777779</v>
      </c>
      <c r="AG348" s="434">
        <f t="shared" si="46"/>
        <v>0.66666666666666663</v>
      </c>
      <c r="AH348" s="470">
        <f t="shared" si="46"/>
        <v>0.39762851551882167</v>
      </c>
    </row>
    <row r="349" spans="1:34" ht="33" customHeight="1" x14ac:dyDescent="0.35">
      <c r="A349" s="413" t="s">
        <v>736</v>
      </c>
      <c r="B349" s="260" t="s">
        <v>86</v>
      </c>
      <c r="C349" s="259" t="s">
        <v>787</v>
      </c>
      <c r="D349" s="260" t="s">
        <v>920</v>
      </c>
      <c r="E349" s="260" t="s">
        <v>788</v>
      </c>
      <c r="F349" s="414"/>
      <c r="G349" s="429">
        <v>0</v>
      </c>
      <c r="H349" s="430">
        <v>0</v>
      </c>
      <c r="I349" s="431">
        <v>0</v>
      </c>
      <c r="J349" s="432">
        <v>0.2</v>
      </c>
      <c r="K349" s="433">
        <v>0.27777777777777785</v>
      </c>
      <c r="L349" s="434">
        <v>0.5</v>
      </c>
      <c r="M349" s="435">
        <v>168.69434938314228</v>
      </c>
      <c r="N349" s="420">
        <v>-168.69434938314228</v>
      </c>
      <c r="T349" s="415">
        <f t="shared" si="47"/>
        <v>0</v>
      </c>
      <c r="U349" s="416">
        <f t="shared" si="48"/>
        <v>0</v>
      </c>
      <c r="V349" s="416">
        <f t="shared" si="49"/>
        <v>0</v>
      </c>
      <c r="W349" s="417">
        <f t="shared" si="50"/>
        <v>7.3684210526315755E-2</v>
      </c>
      <c r="X349" s="418">
        <f t="shared" si="51"/>
        <v>9.7222222222222293E-2</v>
      </c>
      <c r="Y349" s="419">
        <f t="shared" si="52"/>
        <v>0.33333333333333331</v>
      </c>
      <c r="Z349" s="419">
        <f t="shared" si="53"/>
        <v>-0.73507808806765573</v>
      </c>
      <c r="AB349" s="429">
        <f t="shared" si="46"/>
        <v>0</v>
      </c>
      <c r="AC349" s="430">
        <f t="shared" si="46"/>
        <v>0</v>
      </c>
      <c r="AD349" s="430">
        <f t="shared" si="46"/>
        <v>0</v>
      </c>
      <c r="AE349" s="432">
        <f t="shared" si="46"/>
        <v>7.3684210526315755E-2</v>
      </c>
      <c r="AF349" s="433">
        <f t="shared" si="46"/>
        <v>9.7222222222222293E-2</v>
      </c>
      <c r="AG349" s="434">
        <f t="shared" si="46"/>
        <v>0.33333333333333331</v>
      </c>
      <c r="AH349" s="434">
        <f t="shared" si="46"/>
        <v>0</v>
      </c>
    </row>
    <row r="350" spans="1:34" ht="33" customHeight="1" x14ac:dyDescent="0.35">
      <c r="A350" s="426" t="s">
        <v>736</v>
      </c>
      <c r="B350" s="427" t="s">
        <v>89</v>
      </c>
      <c r="C350" s="428" t="s">
        <v>789</v>
      </c>
      <c r="D350" s="260" t="s">
        <v>916</v>
      </c>
      <c r="E350" s="260" t="s">
        <v>790</v>
      </c>
      <c r="F350" s="414"/>
      <c r="G350" s="429">
        <v>4</v>
      </c>
      <c r="H350" s="430">
        <v>4</v>
      </c>
      <c r="I350" s="431">
        <v>4</v>
      </c>
      <c r="J350" s="432">
        <v>0.3</v>
      </c>
      <c r="K350" s="433">
        <v>0.55555555555555558</v>
      </c>
      <c r="L350" s="434">
        <v>1</v>
      </c>
      <c r="M350" s="435">
        <v>17.794911022175349</v>
      </c>
      <c r="N350" s="420">
        <v>-17.794911022175349</v>
      </c>
      <c r="T350" s="415">
        <f t="shared" si="47"/>
        <v>1</v>
      </c>
      <c r="U350" s="416">
        <f t="shared" si="48"/>
        <v>1</v>
      </c>
      <c r="V350" s="416">
        <f t="shared" si="49"/>
        <v>1</v>
      </c>
      <c r="W350" s="417">
        <f t="shared" si="50"/>
        <v>0.18947368421052627</v>
      </c>
      <c r="X350" s="418">
        <f t="shared" si="51"/>
        <v>0.44444444444444442</v>
      </c>
      <c r="Y350" s="419">
        <f t="shared" si="52"/>
        <v>1</v>
      </c>
      <c r="Z350" s="419">
        <f t="shared" si="53"/>
        <v>0.66686229774206407</v>
      </c>
      <c r="AB350" s="429">
        <f t="shared" si="46"/>
        <v>1</v>
      </c>
      <c r="AC350" s="430">
        <f t="shared" si="46"/>
        <v>1</v>
      </c>
      <c r="AD350" s="430">
        <f t="shared" si="46"/>
        <v>1</v>
      </c>
      <c r="AE350" s="432">
        <f t="shared" si="46"/>
        <v>0.18947368421052627</v>
      </c>
      <c r="AF350" s="433">
        <f t="shared" si="46"/>
        <v>0.44444444444444442</v>
      </c>
      <c r="AG350" s="434">
        <f t="shared" si="46"/>
        <v>1</v>
      </c>
      <c r="AH350" s="434">
        <f t="shared" si="46"/>
        <v>0.66686229774206407</v>
      </c>
    </row>
    <row r="351" spans="1:34" ht="33" customHeight="1" x14ac:dyDescent="0.35">
      <c r="A351" s="413" t="s">
        <v>736</v>
      </c>
      <c r="B351" s="260" t="s">
        <v>92</v>
      </c>
      <c r="C351" s="259" t="s">
        <v>791</v>
      </c>
      <c r="D351" s="260" t="s">
        <v>918</v>
      </c>
      <c r="E351" s="260" t="s">
        <v>792</v>
      </c>
      <c r="F351" s="414"/>
      <c r="G351" s="429">
        <v>0</v>
      </c>
      <c r="H351" s="430">
        <v>0</v>
      </c>
      <c r="I351" s="431">
        <v>0</v>
      </c>
      <c r="J351" s="432">
        <v>0.2</v>
      </c>
      <c r="K351" s="433">
        <v>0.16666666666666657</v>
      </c>
      <c r="L351" s="434">
        <v>0.375</v>
      </c>
      <c r="M351" s="435">
        <v>86.679044492850721</v>
      </c>
      <c r="N351" s="420">
        <v>-86.679044492850721</v>
      </c>
      <c r="T351" s="415">
        <f t="shared" si="47"/>
        <v>0</v>
      </c>
      <c r="U351" s="416">
        <f t="shared" si="48"/>
        <v>0</v>
      </c>
      <c r="V351" s="416">
        <f t="shared" si="49"/>
        <v>0</v>
      </c>
      <c r="W351" s="417">
        <f t="shared" si="50"/>
        <v>7.3684210526315755E-2</v>
      </c>
      <c r="X351" s="418">
        <f t="shared" si="51"/>
        <v>-4.1666666666666796E-2</v>
      </c>
      <c r="Y351" s="419">
        <f t="shared" si="52"/>
        <v>0.16666666666666666</v>
      </c>
      <c r="Z351" s="419">
        <f t="shared" si="53"/>
        <v>2.6890077149446193E-2</v>
      </c>
      <c r="AB351" s="429">
        <f t="shared" si="46"/>
        <v>0</v>
      </c>
      <c r="AC351" s="430">
        <f t="shared" si="46"/>
        <v>0</v>
      </c>
      <c r="AD351" s="430">
        <f t="shared" si="46"/>
        <v>0</v>
      </c>
      <c r="AE351" s="432">
        <f t="shared" si="46"/>
        <v>7.3684210526315755E-2</v>
      </c>
      <c r="AF351" s="433">
        <f t="shared" si="46"/>
        <v>0</v>
      </c>
      <c r="AG351" s="434">
        <f t="shared" si="46"/>
        <v>0.16666666666666666</v>
      </c>
      <c r="AH351" s="434">
        <f t="shared" si="46"/>
        <v>2.6890077149446193E-2</v>
      </c>
    </row>
    <row r="352" spans="1:34" ht="33" customHeight="1" x14ac:dyDescent="0.35">
      <c r="A352" s="413" t="s">
        <v>736</v>
      </c>
      <c r="B352" s="260" t="s">
        <v>95</v>
      </c>
      <c r="C352" s="259" t="s">
        <v>793</v>
      </c>
      <c r="D352" s="260" t="s">
        <v>916</v>
      </c>
      <c r="E352" s="260" t="s">
        <v>794</v>
      </c>
      <c r="F352" s="414"/>
      <c r="G352" s="429">
        <v>0</v>
      </c>
      <c r="H352" s="430">
        <v>0</v>
      </c>
      <c r="I352" s="431">
        <v>0</v>
      </c>
      <c r="J352" s="432">
        <v>0.15</v>
      </c>
      <c r="K352" s="433">
        <v>0.27777777777777785</v>
      </c>
      <c r="L352" s="434">
        <v>0.375</v>
      </c>
      <c r="M352" s="435">
        <v>157.27230479473079</v>
      </c>
      <c r="N352" s="420">
        <v>-157.27230479473079</v>
      </c>
      <c r="T352" s="415">
        <f t="shared" si="47"/>
        <v>0</v>
      </c>
      <c r="U352" s="416">
        <f t="shared" si="48"/>
        <v>0</v>
      </c>
      <c r="V352" s="416">
        <f t="shared" si="49"/>
        <v>0</v>
      </c>
      <c r="W352" s="417">
        <f t="shared" si="50"/>
        <v>1.5789473684210468E-2</v>
      </c>
      <c r="X352" s="418">
        <f t="shared" si="51"/>
        <v>9.7222222222222293E-2</v>
      </c>
      <c r="Y352" s="419">
        <f t="shared" si="52"/>
        <v>0.16666666666666666</v>
      </c>
      <c r="Z352" s="419">
        <f t="shared" si="53"/>
        <v>-0.62896088994589316</v>
      </c>
      <c r="AB352" s="429">
        <f t="shared" si="46"/>
        <v>0</v>
      </c>
      <c r="AC352" s="430">
        <f t="shared" si="46"/>
        <v>0</v>
      </c>
      <c r="AD352" s="430">
        <f t="shared" si="46"/>
        <v>0</v>
      </c>
      <c r="AE352" s="432">
        <f t="shared" si="46"/>
        <v>1.5789473684210468E-2</v>
      </c>
      <c r="AF352" s="433">
        <f t="shared" si="46"/>
        <v>9.7222222222222293E-2</v>
      </c>
      <c r="AG352" s="434">
        <f t="shared" si="46"/>
        <v>0.16666666666666666</v>
      </c>
      <c r="AH352" s="434">
        <f t="shared" si="46"/>
        <v>0</v>
      </c>
    </row>
    <row r="353" spans="1:34" ht="33" customHeight="1" x14ac:dyDescent="0.35">
      <c r="A353" s="413" t="s">
        <v>736</v>
      </c>
      <c r="B353" s="260" t="s">
        <v>98</v>
      </c>
      <c r="C353" s="259" t="s">
        <v>795</v>
      </c>
      <c r="D353" s="260" t="s">
        <v>916</v>
      </c>
      <c r="E353" s="260" t="s">
        <v>796</v>
      </c>
      <c r="F353" s="414"/>
      <c r="G353" s="429">
        <v>0</v>
      </c>
      <c r="H353" s="430">
        <v>0</v>
      </c>
      <c r="I353" s="431">
        <v>0</v>
      </c>
      <c r="J353" s="432">
        <v>0.1</v>
      </c>
      <c r="K353" s="433">
        <v>0.11111111111111115</v>
      </c>
      <c r="L353" s="434">
        <v>0.3125</v>
      </c>
      <c r="M353" s="435">
        <v>82.824599525108795</v>
      </c>
      <c r="N353" s="420">
        <v>-82.824599525108795</v>
      </c>
      <c r="T353" s="415">
        <f t="shared" si="47"/>
        <v>0</v>
      </c>
      <c r="U353" s="416">
        <f t="shared" si="48"/>
        <v>0</v>
      </c>
      <c r="V353" s="416">
        <f t="shared" si="49"/>
        <v>0</v>
      </c>
      <c r="W353" s="417">
        <f t="shared" si="50"/>
        <v>-4.2105263157894784E-2</v>
      </c>
      <c r="X353" s="418">
        <f t="shared" si="51"/>
        <v>-0.11111111111111108</v>
      </c>
      <c r="Y353" s="419">
        <f t="shared" si="52"/>
        <v>8.3333333333333329E-2</v>
      </c>
      <c r="Z353" s="419">
        <f t="shared" si="53"/>
        <v>6.2700031936900338E-2</v>
      </c>
      <c r="AB353" s="429">
        <f t="shared" si="46"/>
        <v>0</v>
      </c>
      <c r="AC353" s="430">
        <f t="shared" si="46"/>
        <v>0</v>
      </c>
      <c r="AD353" s="430">
        <f t="shared" si="46"/>
        <v>0</v>
      </c>
      <c r="AE353" s="432">
        <f t="shared" si="46"/>
        <v>0</v>
      </c>
      <c r="AF353" s="433">
        <f t="shared" ref="AF353:AH388" si="54">IF(X353&lt;0,0,X353)</f>
        <v>0</v>
      </c>
      <c r="AG353" s="434">
        <f t="shared" si="54"/>
        <v>8.3333333333333329E-2</v>
      </c>
      <c r="AH353" s="434">
        <f t="shared" si="54"/>
        <v>6.2700031936900338E-2</v>
      </c>
    </row>
    <row r="354" spans="1:34" ht="33" customHeight="1" x14ac:dyDescent="0.35">
      <c r="A354" s="413" t="s">
        <v>736</v>
      </c>
      <c r="B354" s="260" t="s">
        <v>101</v>
      </c>
      <c r="C354" s="259" t="s">
        <v>797</v>
      </c>
      <c r="D354" s="462" t="s">
        <v>915</v>
      </c>
      <c r="E354" s="260" t="s">
        <v>798</v>
      </c>
      <c r="F354" s="414"/>
      <c r="G354" s="429">
        <v>0</v>
      </c>
      <c r="H354" s="430">
        <v>0</v>
      </c>
      <c r="I354" s="431">
        <v>0</v>
      </c>
      <c r="J354" s="432">
        <v>0.15</v>
      </c>
      <c r="K354" s="433">
        <v>0.16666666666666657</v>
      </c>
      <c r="L354" s="434">
        <v>0.1875</v>
      </c>
      <c r="M354" s="435">
        <v>8.8531230182837484E-2</v>
      </c>
      <c r="N354" s="420">
        <v>-8.8531230182837484E-2</v>
      </c>
      <c r="T354" s="415">
        <f t="shared" si="47"/>
        <v>0</v>
      </c>
      <c r="U354" s="416">
        <f t="shared" si="48"/>
        <v>0</v>
      </c>
      <c r="V354" s="416">
        <f t="shared" si="49"/>
        <v>0</v>
      </c>
      <c r="W354" s="417">
        <f t="shared" si="50"/>
        <v>1.5789473684210468E-2</v>
      </c>
      <c r="X354" s="418">
        <f t="shared" si="51"/>
        <v>-4.1666666666666796E-2</v>
      </c>
      <c r="Y354" s="419">
        <f t="shared" si="52"/>
        <v>-8.3333333333333329E-2</v>
      </c>
      <c r="Z354" s="419">
        <f t="shared" si="53"/>
        <v>0.83136449328701723</v>
      </c>
      <c r="AB354" s="429">
        <f t="shared" ref="AB354:AH403" si="55">IF(T354&lt;0,0,T354)</f>
        <v>0</v>
      </c>
      <c r="AC354" s="430">
        <f t="shared" si="55"/>
        <v>0</v>
      </c>
      <c r="AD354" s="430">
        <f t="shared" si="55"/>
        <v>0</v>
      </c>
      <c r="AE354" s="432">
        <f t="shared" si="55"/>
        <v>1.5789473684210468E-2</v>
      </c>
      <c r="AF354" s="433">
        <f t="shared" si="54"/>
        <v>0</v>
      </c>
      <c r="AG354" s="434">
        <f t="shared" si="54"/>
        <v>0</v>
      </c>
      <c r="AH354" s="434">
        <f t="shared" si="54"/>
        <v>0.83136449328701723</v>
      </c>
    </row>
    <row r="355" spans="1:34" ht="33" customHeight="1" x14ac:dyDescent="0.35">
      <c r="A355" s="413" t="s">
        <v>736</v>
      </c>
      <c r="B355" s="260" t="s">
        <v>104</v>
      </c>
      <c r="C355" s="259" t="s">
        <v>799</v>
      </c>
      <c r="D355" s="260" t="s">
        <v>916</v>
      </c>
      <c r="E355" s="260" t="s">
        <v>800</v>
      </c>
      <c r="F355" s="414"/>
      <c r="G355" s="429">
        <v>0</v>
      </c>
      <c r="H355" s="430">
        <v>0</v>
      </c>
      <c r="I355" s="431">
        <v>1</v>
      </c>
      <c r="J355" s="432">
        <v>0.25</v>
      </c>
      <c r="K355" s="433">
        <v>0.38888888888888884</v>
      </c>
      <c r="L355" s="434">
        <v>0.5</v>
      </c>
      <c r="M355" s="435">
        <v>91.049963744848782</v>
      </c>
      <c r="N355" s="420">
        <v>-91.049963744848782</v>
      </c>
      <c r="T355" s="415">
        <f t="shared" si="47"/>
        <v>0</v>
      </c>
      <c r="U355" s="416">
        <f t="shared" si="48"/>
        <v>0</v>
      </c>
      <c r="V355" s="416">
        <f t="shared" si="49"/>
        <v>0.25</v>
      </c>
      <c r="W355" s="417">
        <f t="shared" si="50"/>
        <v>0.13157894736842102</v>
      </c>
      <c r="X355" s="418">
        <f t="shared" si="51"/>
        <v>0.23611111111111102</v>
      </c>
      <c r="Y355" s="419">
        <f t="shared" si="52"/>
        <v>0.33333333333333331</v>
      </c>
      <c r="Z355" s="419">
        <f t="shared" si="53"/>
        <v>-1.371821330575777E-2</v>
      </c>
      <c r="AB355" s="429">
        <f t="shared" si="55"/>
        <v>0</v>
      </c>
      <c r="AC355" s="430">
        <f t="shared" si="55"/>
        <v>0</v>
      </c>
      <c r="AD355" s="430">
        <f t="shared" si="55"/>
        <v>0.25</v>
      </c>
      <c r="AE355" s="432">
        <f t="shared" si="55"/>
        <v>0.13157894736842102</v>
      </c>
      <c r="AF355" s="433">
        <f t="shared" si="54"/>
        <v>0.23611111111111102</v>
      </c>
      <c r="AG355" s="434">
        <f t="shared" si="54"/>
        <v>0.33333333333333331</v>
      </c>
      <c r="AH355" s="434">
        <f t="shared" si="54"/>
        <v>0</v>
      </c>
    </row>
    <row r="356" spans="1:34" ht="33" customHeight="1" x14ac:dyDescent="0.35">
      <c r="A356" s="413" t="s">
        <v>736</v>
      </c>
      <c r="B356" s="260" t="s">
        <v>107</v>
      </c>
      <c r="C356" s="259" t="s">
        <v>801</v>
      </c>
      <c r="D356" s="260" t="s">
        <v>918</v>
      </c>
      <c r="E356" s="260" t="s">
        <v>802</v>
      </c>
      <c r="F356" s="414"/>
      <c r="G356" s="429">
        <v>2</v>
      </c>
      <c r="H356" s="430">
        <v>4</v>
      </c>
      <c r="I356" s="431">
        <v>4</v>
      </c>
      <c r="J356" s="432">
        <v>0.3</v>
      </c>
      <c r="K356" s="433">
        <v>0.38888888888888884</v>
      </c>
      <c r="L356" s="434">
        <v>0.5625</v>
      </c>
      <c r="M356" s="463">
        <v>86.944613511868482</v>
      </c>
      <c r="N356" s="420">
        <v>-86.944613511868482</v>
      </c>
      <c r="T356" s="415">
        <f t="shared" si="47"/>
        <v>0.5</v>
      </c>
      <c r="U356" s="416">
        <f t="shared" si="48"/>
        <v>1</v>
      </c>
      <c r="V356" s="416">
        <f t="shared" si="49"/>
        <v>1</v>
      </c>
      <c r="W356" s="417">
        <f t="shared" si="50"/>
        <v>0.18947368421052627</v>
      </c>
      <c r="X356" s="418">
        <f t="shared" si="51"/>
        <v>0.23611111111111102</v>
      </c>
      <c r="Y356" s="419">
        <f t="shared" si="52"/>
        <v>0.41666666666666669</v>
      </c>
      <c r="Z356" s="419">
        <f t="shared" si="53"/>
        <v>2.4422792068568292E-2</v>
      </c>
      <c r="AB356" s="429">
        <f t="shared" si="55"/>
        <v>0.5</v>
      </c>
      <c r="AC356" s="430">
        <f t="shared" si="55"/>
        <v>1</v>
      </c>
      <c r="AD356" s="430">
        <f t="shared" si="55"/>
        <v>1</v>
      </c>
      <c r="AE356" s="432">
        <f t="shared" si="55"/>
        <v>0.18947368421052627</v>
      </c>
      <c r="AF356" s="433">
        <f t="shared" si="54"/>
        <v>0.23611111111111102</v>
      </c>
      <c r="AG356" s="434">
        <f t="shared" si="54"/>
        <v>0.41666666666666669</v>
      </c>
      <c r="AH356" s="434">
        <f t="shared" si="54"/>
        <v>2.4422792068568292E-2</v>
      </c>
    </row>
    <row r="357" spans="1:34" ht="33" customHeight="1" x14ac:dyDescent="0.35">
      <c r="A357" s="413" t="s">
        <v>736</v>
      </c>
      <c r="B357" s="260" t="s">
        <v>110</v>
      </c>
      <c r="C357" s="259" t="s">
        <v>803</v>
      </c>
      <c r="D357" s="260" t="s">
        <v>918</v>
      </c>
      <c r="E357" s="260" t="s">
        <v>804</v>
      </c>
      <c r="F357" s="414"/>
      <c r="G357" s="429">
        <v>0</v>
      </c>
      <c r="H357" s="430">
        <v>1</v>
      </c>
      <c r="I357" s="431">
        <v>4</v>
      </c>
      <c r="J357" s="432">
        <v>0.2</v>
      </c>
      <c r="K357" s="433">
        <v>0.55555555555555558</v>
      </c>
      <c r="L357" s="434">
        <v>0.5625</v>
      </c>
      <c r="M357" s="463">
        <v>109.22093730979915</v>
      </c>
      <c r="N357" s="420">
        <v>-109.22093730979915</v>
      </c>
      <c r="T357" s="415">
        <f t="shared" si="47"/>
        <v>0</v>
      </c>
      <c r="U357" s="416">
        <f t="shared" si="48"/>
        <v>0.25</v>
      </c>
      <c r="V357" s="416">
        <f t="shared" si="49"/>
        <v>1</v>
      </c>
      <c r="W357" s="417">
        <f t="shared" si="50"/>
        <v>7.3684210526315755E-2</v>
      </c>
      <c r="X357" s="418">
        <f t="shared" si="51"/>
        <v>0.44444444444444442</v>
      </c>
      <c r="Y357" s="419">
        <f t="shared" si="52"/>
        <v>0.41666666666666669</v>
      </c>
      <c r="Z357" s="419">
        <f t="shared" si="53"/>
        <v>-0.1825367454811184</v>
      </c>
      <c r="AB357" s="429">
        <f t="shared" si="55"/>
        <v>0</v>
      </c>
      <c r="AC357" s="430">
        <f t="shared" si="55"/>
        <v>0.25</v>
      </c>
      <c r="AD357" s="430">
        <f t="shared" si="55"/>
        <v>1</v>
      </c>
      <c r="AE357" s="432">
        <f t="shared" si="55"/>
        <v>7.3684210526315755E-2</v>
      </c>
      <c r="AF357" s="433">
        <f t="shared" si="54"/>
        <v>0.44444444444444442</v>
      </c>
      <c r="AG357" s="434">
        <f t="shared" si="54"/>
        <v>0.41666666666666669</v>
      </c>
      <c r="AH357" s="434">
        <f t="shared" si="54"/>
        <v>0</v>
      </c>
    </row>
    <row r="358" spans="1:34" ht="33" customHeight="1" x14ac:dyDescent="0.35">
      <c r="A358" s="413" t="s">
        <v>736</v>
      </c>
      <c r="B358" s="260" t="s">
        <v>113</v>
      </c>
      <c r="C358" s="259" t="s">
        <v>805</v>
      </c>
      <c r="D358" s="461" t="s">
        <v>993</v>
      </c>
      <c r="E358" s="260" t="s">
        <v>806</v>
      </c>
      <c r="F358" s="414" t="s">
        <v>939</v>
      </c>
      <c r="G358" s="429">
        <v>0</v>
      </c>
      <c r="H358" s="430">
        <v>0</v>
      </c>
      <c r="I358" s="431">
        <v>0</v>
      </c>
      <c r="J358" s="432">
        <v>0.3</v>
      </c>
      <c r="K358" s="433">
        <v>0.27777777777777785</v>
      </c>
      <c r="L358" s="434">
        <v>0.625</v>
      </c>
      <c r="M358" s="435">
        <v>223.89972144846803</v>
      </c>
      <c r="N358" s="420">
        <v>-223.89972144846803</v>
      </c>
      <c r="T358" s="415">
        <f t="shared" si="47"/>
        <v>0</v>
      </c>
      <c r="U358" s="416">
        <f t="shared" si="48"/>
        <v>0</v>
      </c>
      <c r="V358" s="416">
        <f t="shared" si="49"/>
        <v>0</v>
      </c>
      <c r="W358" s="417">
        <f t="shared" si="50"/>
        <v>0.18947368421052627</v>
      </c>
      <c r="X358" s="418">
        <f t="shared" si="51"/>
        <v>9.7222222222222293E-2</v>
      </c>
      <c r="Y358" s="419">
        <f t="shared" si="52"/>
        <v>0.5</v>
      </c>
      <c r="Z358" s="419">
        <f t="shared" si="53"/>
        <v>-1.2479669460559537</v>
      </c>
      <c r="AB358" s="429">
        <f t="shared" si="55"/>
        <v>0</v>
      </c>
      <c r="AC358" s="430">
        <f t="shared" si="55"/>
        <v>0</v>
      </c>
      <c r="AD358" s="430">
        <f t="shared" si="55"/>
        <v>0</v>
      </c>
      <c r="AE358" s="432">
        <f t="shared" si="55"/>
        <v>0.18947368421052627</v>
      </c>
      <c r="AF358" s="433">
        <f t="shared" si="54"/>
        <v>9.7222222222222293E-2</v>
      </c>
      <c r="AG358" s="434">
        <f t="shared" si="54"/>
        <v>0.5</v>
      </c>
      <c r="AH358" s="434">
        <f t="shared" si="54"/>
        <v>0</v>
      </c>
    </row>
    <row r="359" spans="1:34" ht="33" customHeight="1" x14ac:dyDescent="0.35">
      <c r="A359" s="413" t="s">
        <v>736</v>
      </c>
      <c r="B359" s="260" t="s">
        <v>116</v>
      </c>
      <c r="C359" s="259" t="s">
        <v>807</v>
      </c>
      <c r="D359" s="260" t="s">
        <v>920</v>
      </c>
      <c r="E359" s="260" t="s">
        <v>808</v>
      </c>
      <c r="F359" s="414"/>
      <c r="G359" s="429">
        <v>0</v>
      </c>
      <c r="H359" s="430">
        <v>0</v>
      </c>
      <c r="I359" s="431">
        <v>0</v>
      </c>
      <c r="J359" s="432">
        <v>0.15</v>
      </c>
      <c r="K359" s="433">
        <v>0.27777777777777785</v>
      </c>
      <c r="L359" s="434">
        <v>0.4375</v>
      </c>
      <c r="M359" s="435">
        <v>130.95381440007947</v>
      </c>
      <c r="N359" s="420">
        <v>-130.95381440007947</v>
      </c>
      <c r="T359" s="415">
        <f t="shared" si="47"/>
        <v>0</v>
      </c>
      <c r="U359" s="416">
        <f t="shared" si="48"/>
        <v>0</v>
      </c>
      <c r="V359" s="416">
        <f t="shared" si="49"/>
        <v>0</v>
      </c>
      <c r="W359" s="417">
        <f t="shared" si="50"/>
        <v>1.5789473684210468E-2</v>
      </c>
      <c r="X359" s="418">
        <f t="shared" si="51"/>
        <v>9.7222222222222293E-2</v>
      </c>
      <c r="Y359" s="419">
        <f t="shared" si="52"/>
        <v>0.25</v>
      </c>
      <c r="Z359" s="419">
        <f t="shared" si="53"/>
        <v>-0.38444735842733585</v>
      </c>
      <c r="AB359" s="429">
        <f t="shared" si="55"/>
        <v>0</v>
      </c>
      <c r="AC359" s="430">
        <f t="shared" si="55"/>
        <v>0</v>
      </c>
      <c r="AD359" s="430">
        <f t="shared" si="55"/>
        <v>0</v>
      </c>
      <c r="AE359" s="432">
        <f t="shared" si="55"/>
        <v>1.5789473684210468E-2</v>
      </c>
      <c r="AF359" s="433">
        <f t="shared" si="54"/>
        <v>9.7222222222222293E-2</v>
      </c>
      <c r="AG359" s="434">
        <f t="shared" si="54"/>
        <v>0.25</v>
      </c>
      <c r="AH359" s="434">
        <f t="shared" si="54"/>
        <v>0</v>
      </c>
    </row>
    <row r="360" spans="1:34" ht="33" customHeight="1" x14ac:dyDescent="0.35">
      <c r="A360" s="413" t="s">
        <v>736</v>
      </c>
      <c r="B360" s="260" t="s">
        <v>119</v>
      </c>
      <c r="C360" s="259" t="s">
        <v>809</v>
      </c>
      <c r="D360" s="260" t="s">
        <v>918</v>
      </c>
      <c r="E360" s="260" t="s">
        <v>810</v>
      </c>
      <c r="F360" s="414"/>
      <c r="G360" s="429">
        <v>0</v>
      </c>
      <c r="H360" s="430">
        <v>0</v>
      </c>
      <c r="I360" s="431">
        <v>0</v>
      </c>
      <c r="J360" s="432">
        <v>0.15</v>
      </c>
      <c r="K360" s="433">
        <v>0.22222222222222215</v>
      </c>
      <c r="L360" s="434">
        <v>0.3125</v>
      </c>
      <c r="M360" s="435">
        <v>125.3673704233166</v>
      </c>
      <c r="N360" s="420">
        <v>-125.3673704233166</v>
      </c>
      <c r="T360" s="415">
        <f t="shared" si="47"/>
        <v>0</v>
      </c>
      <c r="U360" s="416">
        <f t="shared" si="48"/>
        <v>0</v>
      </c>
      <c r="V360" s="416">
        <f t="shared" si="49"/>
        <v>0</v>
      </c>
      <c r="W360" s="417">
        <f t="shared" si="50"/>
        <v>1.5789473684210468E-2</v>
      </c>
      <c r="X360" s="418">
        <f t="shared" si="51"/>
        <v>2.7777777777777679E-2</v>
      </c>
      <c r="Y360" s="419">
        <f t="shared" si="52"/>
        <v>8.3333333333333329E-2</v>
      </c>
      <c r="Z360" s="419">
        <f t="shared" si="53"/>
        <v>-0.3325461617817082</v>
      </c>
      <c r="AB360" s="429">
        <f t="shared" si="55"/>
        <v>0</v>
      </c>
      <c r="AC360" s="430">
        <f t="shared" si="55"/>
        <v>0</v>
      </c>
      <c r="AD360" s="430">
        <f t="shared" si="55"/>
        <v>0</v>
      </c>
      <c r="AE360" s="432">
        <f t="shared" si="55"/>
        <v>1.5789473684210468E-2</v>
      </c>
      <c r="AF360" s="433">
        <f t="shared" si="54"/>
        <v>2.7777777777777679E-2</v>
      </c>
      <c r="AG360" s="434">
        <f t="shared" si="54"/>
        <v>8.3333333333333329E-2</v>
      </c>
      <c r="AH360" s="434">
        <f t="shared" si="54"/>
        <v>0</v>
      </c>
    </row>
    <row r="361" spans="1:34" ht="33" customHeight="1" x14ac:dyDescent="0.35">
      <c r="A361" s="413" t="s">
        <v>736</v>
      </c>
      <c r="B361" s="260" t="s">
        <v>122</v>
      </c>
      <c r="C361" s="259" t="s">
        <v>811</v>
      </c>
      <c r="D361" s="260" t="s">
        <v>918</v>
      </c>
      <c r="E361" s="260" t="s">
        <v>812</v>
      </c>
      <c r="F361" s="414"/>
      <c r="G361" s="429">
        <v>0</v>
      </c>
      <c r="H361" s="430">
        <v>0</v>
      </c>
      <c r="I361" s="431">
        <v>0</v>
      </c>
      <c r="J361" s="432">
        <v>0.1</v>
      </c>
      <c r="K361" s="433">
        <v>0.11111111111111115</v>
      </c>
      <c r="L361" s="434">
        <v>0.25</v>
      </c>
      <c r="M361" s="435">
        <v>103.59909099812609</v>
      </c>
      <c r="N361" s="420">
        <v>-103.59909099812609</v>
      </c>
      <c r="T361" s="415">
        <f t="shared" si="47"/>
        <v>0</v>
      </c>
      <c r="U361" s="416">
        <f t="shared" si="48"/>
        <v>0</v>
      </c>
      <c r="V361" s="416">
        <f t="shared" si="49"/>
        <v>0</v>
      </c>
      <c r="W361" s="417">
        <f t="shared" si="50"/>
        <v>-4.2105263157894784E-2</v>
      </c>
      <c r="X361" s="418">
        <f t="shared" si="51"/>
        <v>-0.11111111111111108</v>
      </c>
      <c r="Y361" s="419">
        <f t="shared" si="52"/>
        <v>0</v>
      </c>
      <c r="Z361" s="419">
        <f t="shared" si="53"/>
        <v>-0.13030664129546496</v>
      </c>
      <c r="AB361" s="429">
        <f t="shared" si="55"/>
        <v>0</v>
      </c>
      <c r="AC361" s="430">
        <f t="shared" si="55"/>
        <v>0</v>
      </c>
      <c r="AD361" s="430">
        <f t="shared" si="55"/>
        <v>0</v>
      </c>
      <c r="AE361" s="432">
        <f t="shared" si="55"/>
        <v>0</v>
      </c>
      <c r="AF361" s="433">
        <f t="shared" si="54"/>
        <v>0</v>
      </c>
      <c r="AG361" s="434">
        <f t="shared" si="54"/>
        <v>0</v>
      </c>
      <c r="AH361" s="434">
        <f t="shared" si="54"/>
        <v>0</v>
      </c>
    </row>
    <row r="362" spans="1:34" ht="33" customHeight="1" x14ac:dyDescent="0.35">
      <c r="A362" s="413" t="s">
        <v>736</v>
      </c>
      <c r="B362" s="260" t="s">
        <v>125</v>
      </c>
      <c r="C362" s="259" t="s">
        <v>813</v>
      </c>
      <c r="D362" s="260" t="s">
        <v>916</v>
      </c>
      <c r="E362" s="260" t="s">
        <v>814</v>
      </c>
      <c r="F362" s="414"/>
      <c r="G362" s="429">
        <v>0</v>
      </c>
      <c r="H362" s="430">
        <v>0</v>
      </c>
      <c r="I362" s="431">
        <v>0</v>
      </c>
      <c r="J362" s="432">
        <v>0.1</v>
      </c>
      <c r="K362" s="433">
        <v>0.11111111111111115</v>
      </c>
      <c r="L362" s="434">
        <v>0.125</v>
      </c>
      <c r="M362" s="435">
        <v>113.38585661210287</v>
      </c>
      <c r="N362" s="420">
        <v>-113.38585661210287</v>
      </c>
      <c r="T362" s="415">
        <f t="shared" si="47"/>
        <v>0</v>
      </c>
      <c r="U362" s="416">
        <f t="shared" si="48"/>
        <v>0</v>
      </c>
      <c r="V362" s="416">
        <f t="shared" si="49"/>
        <v>0</v>
      </c>
      <c r="W362" s="417">
        <f t="shared" si="50"/>
        <v>-4.2105263157894784E-2</v>
      </c>
      <c r="X362" s="418">
        <f t="shared" si="51"/>
        <v>-0.11111111111111108</v>
      </c>
      <c r="Y362" s="419">
        <f t="shared" si="52"/>
        <v>-0.16666666666666666</v>
      </c>
      <c r="Z362" s="419">
        <f t="shared" si="53"/>
        <v>-0.22123118090751545</v>
      </c>
      <c r="AB362" s="429">
        <f t="shared" si="55"/>
        <v>0</v>
      </c>
      <c r="AC362" s="430">
        <f t="shared" si="55"/>
        <v>0</v>
      </c>
      <c r="AD362" s="430">
        <f t="shared" si="55"/>
        <v>0</v>
      </c>
      <c r="AE362" s="432">
        <f t="shared" si="55"/>
        <v>0</v>
      </c>
      <c r="AF362" s="433">
        <f t="shared" si="54"/>
        <v>0</v>
      </c>
      <c r="AG362" s="434">
        <f t="shared" si="54"/>
        <v>0</v>
      </c>
      <c r="AH362" s="434">
        <f t="shared" si="54"/>
        <v>0</v>
      </c>
    </row>
    <row r="363" spans="1:34" ht="33" customHeight="1" x14ac:dyDescent="0.35">
      <c r="A363" s="413" t="s">
        <v>736</v>
      </c>
      <c r="B363" s="260" t="s">
        <v>128</v>
      </c>
      <c r="C363" s="259" t="s">
        <v>815</v>
      </c>
      <c r="D363" s="260" t="s">
        <v>916</v>
      </c>
      <c r="E363" s="260" t="s">
        <v>816</v>
      </c>
      <c r="F363" s="414"/>
      <c r="G363" s="429">
        <v>0</v>
      </c>
      <c r="H363" s="430">
        <v>0</v>
      </c>
      <c r="I363" s="431">
        <v>0</v>
      </c>
      <c r="J363" s="432">
        <v>0.2</v>
      </c>
      <c r="K363" s="433">
        <v>0.11111111111111115</v>
      </c>
      <c r="L363" s="434">
        <v>0.125</v>
      </c>
      <c r="M363" s="435">
        <v>93.967972114668839</v>
      </c>
      <c r="N363" s="420">
        <v>-93.967972114668839</v>
      </c>
      <c r="T363" s="415">
        <f t="shared" si="47"/>
        <v>0</v>
      </c>
      <c r="U363" s="416">
        <f t="shared" si="48"/>
        <v>0</v>
      </c>
      <c r="V363" s="416">
        <f t="shared" si="49"/>
        <v>0</v>
      </c>
      <c r="W363" s="417">
        <f t="shared" si="50"/>
        <v>7.3684210526315755E-2</v>
      </c>
      <c r="X363" s="418">
        <f t="shared" si="51"/>
        <v>-0.11111111111111108</v>
      </c>
      <c r="Y363" s="419">
        <f t="shared" si="52"/>
        <v>-0.16666666666666666</v>
      </c>
      <c r="Z363" s="419">
        <f t="shared" si="53"/>
        <v>-4.0828147074999065E-2</v>
      </c>
      <c r="AB363" s="429">
        <f t="shared" si="55"/>
        <v>0</v>
      </c>
      <c r="AC363" s="430">
        <f t="shared" si="55"/>
        <v>0</v>
      </c>
      <c r="AD363" s="430">
        <f t="shared" si="55"/>
        <v>0</v>
      </c>
      <c r="AE363" s="432">
        <f t="shared" si="55"/>
        <v>7.3684210526315755E-2</v>
      </c>
      <c r="AF363" s="433">
        <f t="shared" si="54"/>
        <v>0</v>
      </c>
      <c r="AG363" s="434">
        <f t="shared" si="54"/>
        <v>0</v>
      </c>
      <c r="AH363" s="434">
        <f t="shared" si="54"/>
        <v>0</v>
      </c>
    </row>
    <row r="364" spans="1:34" ht="33" customHeight="1" x14ac:dyDescent="0.35">
      <c r="A364" s="413" t="s">
        <v>736</v>
      </c>
      <c r="B364" s="260" t="s">
        <v>131</v>
      </c>
      <c r="C364" s="259" t="s">
        <v>817</v>
      </c>
      <c r="D364" s="260" t="s">
        <v>918</v>
      </c>
      <c r="E364" s="260" t="s">
        <v>818</v>
      </c>
      <c r="F364" s="414"/>
      <c r="G364" s="429">
        <v>0</v>
      </c>
      <c r="H364" s="430">
        <v>0</v>
      </c>
      <c r="I364" s="431">
        <v>0</v>
      </c>
      <c r="J364" s="432">
        <v>0.2</v>
      </c>
      <c r="K364" s="433">
        <v>0.22222222222222215</v>
      </c>
      <c r="L364" s="434">
        <v>0.375</v>
      </c>
      <c r="M364" s="435">
        <v>90.228408195997488</v>
      </c>
      <c r="N364" s="420">
        <v>-90.228408195997488</v>
      </c>
      <c r="T364" s="415">
        <f t="shared" si="47"/>
        <v>0</v>
      </c>
      <c r="U364" s="416">
        <f t="shared" si="48"/>
        <v>0</v>
      </c>
      <c r="V364" s="416">
        <f t="shared" si="49"/>
        <v>0</v>
      </c>
      <c r="W364" s="417">
        <f t="shared" si="50"/>
        <v>7.3684210526315755E-2</v>
      </c>
      <c r="X364" s="418">
        <f t="shared" si="51"/>
        <v>2.7777777777777679E-2</v>
      </c>
      <c r="Y364" s="419">
        <f t="shared" si="52"/>
        <v>0.16666666666666666</v>
      </c>
      <c r="Z364" s="419">
        <f t="shared" si="53"/>
        <v>-6.0855016427392378E-3</v>
      </c>
      <c r="AB364" s="429">
        <f t="shared" si="55"/>
        <v>0</v>
      </c>
      <c r="AC364" s="430">
        <f t="shared" si="55"/>
        <v>0</v>
      </c>
      <c r="AD364" s="430">
        <f t="shared" si="55"/>
        <v>0</v>
      </c>
      <c r="AE364" s="432">
        <f t="shared" si="55"/>
        <v>7.3684210526315755E-2</v>
      </c>
      <c r="AF364" s="433">
        <f t="shared" si="54"/>
        <v>2.7777777777777679E-2</v>
      </c>
      <c r="AG364" s="434">
        <f t="shared" si="54"/>
        <v>0.16666666666666666</v>
      </c>
      <c r="AH364" s="434">
        <f t="shared" si="54"/>
        <v>0</v>
      </c>
    </row>
    <row r="365" spans="1:34" ht="33" customHeight="1" x14ac:dyDescent="0.35">
      <c r="A365" s="413" t="s">
        <v>736</v>
      </c>
      <c r="B365" s="260" t="s">
        <v>134</v>
      </c>
      <c r="C365" s="259" t="s">
        <v>819</v>
      </c>
      <c r="D365" s="461" t="s">
        <v>993</v>
      </c>
      <c r="E365" s="260" t="s">
        <v>820</v>
      </c>
      <c r="F365" s="414" t="s">
        <v>947</v>
      </c>
      <c r="G365" s="429">
        <v>0</v>
      </c>
      <c r="H365" s="430">
        <v>0</v>
      </c>
      <c r="I365" s="431">
        <v>0</v>
      </c>
      <c r="J365" s="432">
        <v>0.15</v>
      </c>
      <c r="K365" s="433">
        <v>0.22222222222222215</v>
      </c>
      <c r="L365" s="434">
        <v>0.375</v>
      </c>
      <c r="M365" s="435">
        <v>95.522834354754195</v>
      </c>
      <c r="N365" s="420">
        <v>-95.522834354754195</v>
      </c>
      <c r="T365" s="415">
        <f t="shared" si="47"/>
        <v>0</v>
      </c>
      <c r="U365" s="416">
        <f t="shared" si="48"/>
        <v>0</v>
      </c>
      <c r="V365" s="416">
        <f t="shared" si="49"/>
        <v>0</v>
      </c>
      <c r="W365" s="417">
        <f t="shared" si="50"/>
        <v>1.5789473684210468E-2</v>
      </c>
      <c r="X365" s="418">
        <f t="shared" si="51"/>
        <v>2.7777777777777679E-2</v>
      </c>
      <c r="Y365" s="419">
        <f t="shared" si="52"/>
        <v>0.16666666666666666</v>
      </c>
      <c r="Z365" s="419">
        <f t="shared" si="53"/>
        <v>-5.5273689036075595E-2</v>
      </c>
      <c r="AB365" s="429">
        <f t="shared" si="55"/>
        <v>0</v>
      </c>
      <c r="AC365" s="430">
        <f t="shared" si="55"/>
        <v>0</v>
      </c>
      <c r="AD365" s="430">
        <f t="shared" si="55"/>
        <v>0</v>
      </c>
      <c r="AE365" s="432">
        <f t="shared" si="55"/>
        <v>1.5789473684210468E-2</v>
      </c>
      <c r="AF365" s="433">
        <f t="shared" si="54"/>
        <v>2.7777777777777679E-2</v>
      </c>
      <c r="AG365" s="434">
        <f t="shared" si="54"/>
        <v>0.16666666666666666</v>
      </c>
      <c r="AH365" s="434">
        <f t="shared" si="54"/>
        <v>0</v>
      </c>
    </row>
    <row r="366" spans="1:34" ht="33" customHeight="1" x14ac:dyDescent="0.35">
      <c r="A366" s="413" t="s">
        <v>736</v>
      </c>
      <c r="B366" s="260" t="s">
        <v>137</v>
      </c>
      <c r="C366" s="259" t="s">
        <v>821</v>
      </c>
      <c r="D366" s="260" t="s">
        <v>918</v>
      </c>
      <c r="E366" s="260" t="s">
        <v>822</v>
      </c>
      <c r="F366" s="414"/>
      <c r="G366" s="429">
        <v>0</v>
      </c>
      <c r="H366" s="430">
        <v>0</v>
      </c>
      <c r="I366" s="431">
        <v>0</v>
      </c>
      <c r="J366" s="432">
        <v>0.15</v>
      </c>
      <c r="K366" s="433">
        <v>0.22222222222222215</v>
      </c>
      <c r="L366" s="434">
        <v>0.4375</v>
      </c>
      <c r="M366" s="435">
        <v>146.48690630982304</v>
      </c>
      <c r="N366" s="420">
        <v>-146.48690630982304</v>
      </c>
      <c r="T366" s="415">
        <f t="shared" si="47"/>
        <v>0</v>
      </c>
      <c r="U366" s="416">
        <f t="shared" si="48"/>
        <v>0</v>
      </c>
      <c r="V366" s="416">
        <f t="shared" si="49"/>
        <v>0</v>
      </c>
      <c r="W366" s="417">
        <f t="shared" si="50"/>
        <v>1.5789473684210468E-2</v>
      </c>
      <c r="X366" s="418">
        <f t="shared" si="51"/>
        <v>2.7777777777777679E-2</v>
      </c>
      <c r="Y366" s="419">
        <f t="shared" si="52"/>
        <v>0.25</v>
      </c>
      <c r="Z366" s="419">
        <f t="shared" si="53"/>
        <v>-0.52875849106834805</v>
      </c>
      <c r="AB366" s="429">
        <f t="shared" si="55"/>
        <v>0</v>
      </c>
      <c r="AC366" s="430">
        <f t="shared" si="55"/>
        <v>0</v>
      </c>
      <c r="AD366" s="430">
        <f t="shared" si="55"/>
        <v>0</v>
      </c>
      <c r="AE366" s="432">
        <f t="shared" si="55"/>
        <v>1.5789473684210468E-2</v>
      </c>
      <c r="AF366" s="433">
        <f t="shared" si="54"/>
        <v>2.7777777777777679E-2</v>
      </c>
      <c r="AG366" s="434">
        <f t="shared" si="54"/>
        <v>0.25</v>
      </c>
      <c r="AH366" s="434">
        <f t="shared" si="54"/>
        <v>0</v>
      </c>
    </row>
    <row r="367" spans="1:34" ht="33" customHeight="1" x14ac:dyDescent="0.35">
      <c r="A367" s="413" t="s">
        <v>736</v>
      </c>
      <c r="B367" s="260" t="s">
        <v>140</v>
      </c>
      <c r="C367" s="259" t="s">
        <v>823</v>
      </c>
      <c r="D367" s="260" t="s">
        <v>918</v>
      </c>
      <c r="E367" s="260" t="s">
        <v>824</v>
      </c>
      <c r="F367" s="414"/>
      <c r="G367" s="429">
        <v>0</v>
      </c>
      <c r="H367" s="430">
        <v>0</v>
      </c>
      <c r="I367" s="431">
        <v>0</v>
      </c>
      <c r="J367" s="432">
        <v>0.15</v>
      </c>
      <c r="K367" s="433">
        <v>0.16666666666666657</v>
      </c>
      <c r="L367" s="434">
        <v>0.3125</v>
      </c>
      <c r="M367" s="435">
        <v>155.96570748669245</v>
      </c>
      <c r="N367" s="420">
        <v>-155.96570748669245</v>
      </c>
      <c r="T367" s="415">
        <f t="shared" si="47"/>
        <v>0</v>
      </c>
      <c r="U367" s="416">
        <f t="shared" si="48"/>
        <v>0</v>
      </c>
      <c r="V367" s="416">
        <f t="shared" si="49"/>
        <v>0</v>
      </c>
      <c r="W367" s="417">
        <f t="shared" si="50"/>
        <v>1.5789473684210468E-2</v>
      </c>
      <c r="X367" s="418">
        <f t="shared" si="51"/>
        <v>-4.1666666666666796E-2</v>
      </c>
      <c r="Y367" s="419">
        <f t="shared" si="52"/>
        <v>8.3333333333333329E-2</v>
      </c>
      <c r="Z367" s="419">
        <f t="shared" si="53"/>
        <v>-0.61682186839600894</v>
      </c>
      <c r="AB367" s="429">
        <f t="shared" si="55"/>
        <v>0</v>
      </c>
      <c r="AC367" s="430">
        <f t="shared" si="55"/>
        <v>0</v>
      </c>
      <c r="AD367" s="430">
        <f t="shared" si="55"/>
        <v>0</v>
      </c>
      <c r="AE367" s="432">
        <f t="shared" si="55"/>
        <v>1.5789473684210468E-2</v>
      </c>
      <c r="AF367" s="433">
        <f t="shared" si="54"/>
        <v>0</v>
      </c>
      <c r="AG367" s="434">
        <f t="shared" si="54"/>
        <v>8.3333333333333329E-2</v>
      </c>
      <c r="AH367" s="434">
        <f t="shared" si="54"/>
        <v>0</v>
      </c>
    </row>
    <row r="368" spans="1:34" ht="33" customHeight="1" x14ac:dyDescent="0.35">
      <c r="A368" s="413" t="s">
        <v>736</v>
      </c>
      <c r="B368" s="260" t="s">
        <v>143</v>
      </c>
      <c r="C368" s="259" t="s">
        <v>825</v>
      </c>
      <c r="D368" s="260" t="s">
        <v>919</v>
      </c>
      <c r="E368" s="260" t="s">
        <v>826</v>
      </c>
      <c r="F368" s="414"/>
      <c r="G368" s="429">
        <v>0</v>
      </c>
      <c r="H368" s="430">
        <v>0</v>
      </c>
      <c r="I368" s="431">
        <v>1</v>
      </c>
      <c r="J368" s="432">
        <v>0.2</v>
      </c>
      <c r="K368" s="433">
        <v>0.22222222222222215</v>
      </c>
      <c r="L368" s="434">
        <v>0.3125</v>
      </c>
      <c r="M368" s="435">
        <v>77.46598562366961</v>
      </c>
      <c r="N368" s="420">
        <v>-77.46598562366961</v>
      </c>
      <c r="T368" s="415">
        <f t="shared" si="47"/>
        <v>0</v>
      </c>
      <c r="U368" s="416">
        <f t="shared" si="48"/>
        <v>0</v>
      </c>
      <c r="V368" s="416">
        <f t="shared" si="49"/>
        <v>0.25</v>
      </c>
      <c r="W368" s="417">
        <f t="shared" si="50"/>
        <v>7.3684210526315755E-2</v>
      </c>
      <c r="X368" s="418">
        <f t="shared" si="51"/>
        <v>2.7777777777777679E-2</v>
      </c>
      <c r="Y368" s="419">
        <f t="shared" si="52"/>
        <v>8.3333333333333329E-2</v>
      </c>
      <c r="Z368" s="419">
        <f t="shared" si="53"/>
        <v>0.11248455944732359</v>
      </c>
      <c r="AB368" s="429">
        <f t="shared" si="55"/>
        <v>0</v>
      </c>
      <c r="AC368" s="430">
        <f t="shared" si="55"/>
        <v>0</v>
      </c>
      <c r="AD368" s="430">
        <f t="shared" si="55"/>
        <v>0.25</v>
      </c>
      <c r="AE368" s="432">
        <f t="shared" si="55"/>
        <v>7.3684210526315755E-2</v>
      </c>
      <c r="AF368" s="433">
        <f t="shared" si="54"/>
        <v>2.7777777777777679E-2</v>
      </c>
      <c r="AG368" s="434">
        <f t="shared" si="54"/>
        <v>8.3333333333333329E-2</v>
      </c>
      <c r="AH368" s="434">
        <f t="shared" si="54"/>
        <v>0.11248455944732359</v>
      </c>
    </row>
    <row r="369" spans="1:34" ht="33" customHeight="1" x14ac:dyDescent="0.35">
      <c r="A369" s="413" t="s">
        <v>736</v>
      </c>
      <c r="B369" s="260" t="s">
        <v>146</v>
      </c>
      <c r="C369" s="259" t="s">
        <v>827</v>
      </c>
      <c r="D369" s="260" t="s">
        <v>918</v>
      </c>
      <c r="E369" s="260" t="s">
        <v>828</v>
      </c>
      <c r="F369" s="414"/>
      <c r="G369" s="429">
        <v>0</v>
      </c>
      <c r="H369" s="430">
        <v>0</v>
      </c>
      <c r="I369" s="431">
        <v>0</v>
      </c>
      <c r="J369" s="432">
        <v>0.1</v>
      </c>
      <c r="K369" s="433">
        <v>0.11111111111111115</v>
      </c>
      <c r="L369" s="434">
        <v>0.1875</v>
      </c>
      <c r="M369" s="435">
        <v>130.90867937472012</v>
      </c>
      <c r="N369" s="420">
        <v>-130.90867937472012</v>
      </c>
      <c r="T369" s="415">
        <f t="shared" si="47"/>
        <v>0</v>
      </c>
      <c r="U369" s="416">
        <f t="shared" si="48"/>
        <v>0</v>
      </c>
      <c r="V369" s="416">
        <f t="shared" si="49"/>
        <v>0</v>
      </c>
      <c r="W369" s="417">
        <f t="shared" si="50"/>
        <v>-4.2105263157894784E-2</v>
      </c>
      <c r="X369" s="418">
        <f t="shared" si="51"/>
        <v>-0.11111111111111108</v>
      </c>
      <c r="Y369" s="419">
        <f t="shared" si="52"/>
        <v>-8.3333333333333329E-2</v>
      </c>
      <c r="Z369" s="419">
        <f t="shared" si="53"/>
        <v>-0.38402802873629721</v>
      </c>
      <c r="AB369" s="429">
        <f t="shared" si="55"/>
        <v>0</v>
      </c>
      <c r="AC369" s="430">
        <f t="shared" si="55"/>
        <v>0</v>
      </c>
      <c r="AD369" s="430">
        <f t="shared" si="55"/>
        <v>0</v>
      </c>
      <c r="AE369" s="432">
        <f t="shared" si="55"/>
        <v>0</v>
      </c>
      <c r="AF369" s="433">
        <f t="shared" si="54"/>
        <v>0</v>
      </c>
      <c r="AG369" s="434">
        <f t="shared" si="54"/>
        <v>0</v>
      </c>
      <c r="AH369" s="434">
        <f t="shared" si="54"/>
        <v>0</v>
      </c>
    </row>
    <row r="370" spans="1:34" ht="33" customHeight="1" x14ac:dyDescent="0.35">
      <c r="A370" s="413" t="s">
        <v>736</v>
      </c>
      <c r="B370" s="260" t="s">
        <v>149</v>
      </c>
      <c r="C370" s="259" t="s">
        <v>829</v>
      </c>
      <c r="D370" s="260" t="s">
        <v>916</v>
      </c>
      <c r="E370" s="260" t="s">
        <v>830</v>
      </c>
      <c r="F370" s="414"/>
      <c r="G370" s="429">
        <v>0</v>
      </c>
      <c r="H370" s="430">
        <v>0</v>
      </c>
      <c r="I370" s="431">
        <v>2</v>
      </c>
      <c r="J370" s="432">
        <v>0.05</v>
      </c>
      <c r="K370" s="433">
        <v>0.11111111111111115</v>
      </c>
      <c r="L370" s="434">
        <v>0.1875</v>
      </c>
      <c r="M370" s="435">
        <v>126.6322954853531</v>
      </c>
      <c r="N370" s="420">
        <v>-126.6322954853531</v>
      </c>
      <c r="T370" s="415">
        <f t="shared" si="47"/>
        <v>0</v>
      </c>
      <c r="U370" s="416">
        <f t="shared" si="48"/>
        <v>0</v>
      </c>
      <c r="V370" s="416">
        <f t="shared" si="49"/>
        <v>0.5</v>
      </c>
      <c r="W370" s="417">
        <f t="shared" si="50"/>
        <v>-0.10000000000000006</v>
      </c>
      <c r="X370" s="418">
        <f t="shared" si="51"/>
        <v>-0.11111111111111108</v>
      </c>
      <c r="Y370" s="419">
        <f t="shared" si="52"/>
        <v>-8.3333333333333329E-2</v>
      </c>
      <c r="Z370" s="419">
        <f t="shared" si="53"/>
        <v>-0.34429802480223048</v>
      </c>
      <c r="AB370" s="429">
        <f t="shared" si="55"/>
        <v>0</v>
      </c>
      <c r="AC370" s="430">
        <f t="shared" si="55"/>
        <v>0</v>
      </c>
      <c r="AD370" s="430">
        <f t="shared" si="55"/>
        <v>0.5</v>
      </c>
      <c r="AE370" s="432">
        <f t="shared" si="55"/>
        <v>0</v>
      </c>
      <c r="AF370" s="433">
        <f t="shared" si="54"/>
        <v>0</v>
      </c>
      <c r="AG370" s="434">
        <f t="shared" si="54"/>
        <v>0</v>
      </c>
      <c r="AH370" s="434">
        <f t="shared" si="54"/>
        <v>0</v>
      </c>
    </row>
    <row r="371" spans="1:34" ht="33" customHeight="1" x14ac:dyDescent="0.35">
      <c r="A371" s="413" t="s">
        <v>736</v>
      </c>
      <c r="B371" s="260" t="s">
        <v>152</v>
      </c>
      <c r="C371" s="259" t="s">
        <v>831</v>
      </c>
      <c r="D371" s="260" t="s">
        <v>918</v>
      </c>
      <c r="E371" s="260" t="s">
        <v>832</v>
      </c>
      <c r="F371" s="414"/>
      <c r="G371" s="429">
        <v>0</v>
      </c>
      <c r="H371" s="430">
        <v>0</v>
      </c>
      <c r="I371" s="431">
        <v>0</v>
      </c>
      <c r="J371" s="432">
        <v>0.15</v>
      </c>
      <c r="K371" s="433">
        <v>0.16666666666666657</v>
      </c>
      <c r="L371" s="434">
        <v>0.3125</v>
      </c>
      <c r="M371" s="435">
        <v>96.020449123968859</v>
      </c>
      <c r="N371" s="420">
        <v>-96.020449123968859</v>
      </c>
      <c r="T371" s="415">
        <f t="shared" si="47"/>
        <v>0</v>
      </c>
      <c r="U371" s="416">
        <f t="shared" si="48"/>
        <v>0</v>
      </c>
      <c r="V371" s="416">
        <f t="shared" si="49"/>
        <v>0</v>
      </c>
      <c r="W371" s="417">
        <f t="shared" si="50"/>
        <v>1.5789473684210468E-2</v>
      </c>
      <c r="X371" s="418">
        <f t="shared" si="51"/>
        <v>-4.1666666666666796E-2</v>
      </c>
      <c r="Y371" s="419">
        <f t="shared" si="52"/>
        <v>8.3333333333333329E-2</v>
      </c>
      <c r="Z371" s="419">
        <f t="shared" si="53"/>
        <v>-5.9896809235294807E-2</v>
      </c>
      <c r="AB371" s="429">
        <f t="shared" si="55"/>
        <v>0</v>
      </c>
      <c r="AC371" s="430">
        <f t="shared" si="55"/>
        <v>0</v>
      </c>
      <c r="AD371" s="430">
        <f t="shared" si="55"/>
        <v>0</v>
      </c>
      <c r="AE371" s="432">
        <f t="shared" si="55"/>
        <v>1.5789473684210468E-2</v>
      </c>
      <c r="AF371" s="433">
        <f t="shared" si="54"/>
        <v>0</v>
      </c>
      <c r="AG371" s="434">
        <f t="shared" si="54"/>
        <v>8.3333333333333329E-2</v>
      </c>
      <c r="AH371" s="434">
        <f t="shared" si="54"/>
        <v>0</v>
      </c>
    </row>
    <row r="372" spans="1:34" ht="33" customHeight="1" x14ac:dyDescent="0.35">
      <c r="A372" s="413" t="s">
        <v>736</v>
      </c>
      <c r="B372" s="260" t="s">
        <v>155</v>
      </c>
      <c r="C372" s="259" t="s">
        <v>833</v>
      </c>
      <c r="D372" s="260" t="s">
        <v>916</v>
      </c>
      <c r="E372" s="260" t="s">
        <v>834</v>
      </c>
      <c r="F372" s="414"/>
      <c r="G372" s="429">
        <v>0</v>
      </c>
      <c r="H372" s="430">
        <v>0</v>
      </c>
      <c r="I372" s="431">
        <v>0</v>
      </c>
      <c r="J372" s="432">
        <v>0.1</v>
      </c>
      <c r="K372" s="433">
        <v>0.16666666666666657</v>
      </c>
      <c r="L372" s="434">
        <v>0.25</v>
      </c>
      <c r="M372" s="435">
        <v>72.863996442700142</v>
      </c>
      <c r="N372" s="420">
        <v>-72.863996442700142</v>
      </c>
      <c r="T372" s="415">
        <f t="shared" si="47"/>
        <v>0</v>
      </c>
      <c r="U372" s="416">
        <f t="shared" si="48"/>
        <v>0</v>
      </c>
      <c r="V372" s="416">
        <f t="shared" si="49"/>
        <v>0</v>
      </c>
      <c r="W372" s="417">
        <f t="shared" si="50"/>
        <v>-4.2105263157894784E-2</v>
      </c>
      <c r="X372" s="418">
        <f t="shared" si="51"/>
        <v>-4.1666666666666796E-2</v>
      </c>
      <c r="Y372" s="419">
        <f t="shared" si="52"/>
        <v>0</v>
      </c>
      <c r="Z372" s="419">
        <f t="shared" si="53"/>
        <v>0.15523961909457906</v>
      </c>
      <c r="AB372" s="429">
        <f t="shared" si="55"/>
        <v>0</v>
      </c>
      <c r="AC372" s="430">
        <f t="shared" si="55"/>
        <v>0</v>
      </c>
      <c r="AD372" s="430">
        <f t="shared" si="55"/>
        <v>0</v>
      </c>
      <c r="AE372" s="432">
        <f t="shared" si="55"/>
        <v>0</v>
      </c>
      <c r="AF372" s="433">
        <f t="shared" si="54"/>
        <v>0</v>
      </c>
      <c r="AG372" s="434">
        <f t="shared" si="54"/>
        <v>0</v>
      </c>
      <c r="AH372" s="434">
        <f t="shared" si="54"/>
        <v>0.15523961909457906</v>
      </c>
    </row>
    <row r="373" spans="1:34" ht="33" customHeight="1" x14ac:dyDescent="0.35">
      <c r="A373" s="426" t="s">
        <v>736</v>
      </c>
      <c r="B373" s="427" t="s">
        <v>158</v>
      </c>
      <c r="C373" s="428" t="s">
        <v>835</v>
      </c>
      <c r="D373" s="260" t="s">
        <v>916</v>
      </c>
      <c r="E373" s="260" t="s">
        <v>836</v>
      </c>
      <c r="F373" s="414"/>
      <c r="G373" s="429">
        <v>4</v>
      </c>
      <c r="H373" s="430">
        <v>4</v>
      </c>
      <c r="I373" s="431">
        <v>4</v>
      </c>
      <c r="J373" s="452">
        <v>1</v>
      </c>
      <c r="K373" s="453">
        <v>1</v>
      </c>
      <c r="L373" s="454">
        <v>1</v>
      </c>
      <c r="M373" s="455">
        <v>-3.418105045269507</v>
      </c>
      <c r="N373" s="420">
        <v>3.418105045269507</v>
      </c>
      <c r="T373" s="415">
        <f t="shared" si="47"/>
        <v>1</v>
      </c>
      <c r="U373" s="416">
        <f t="shared" si="48"/>
        <v>1</v>
      </c>
      <c r="V373" s="416">
        <f t="shared" si="49"/>
        <v>1</v>
      </c>
      <c r="W373" s="417">
        <f t="shared" si="50"/>
        <v>1</v>
      </c>
      <c r="X373" s="418">
        <f t="shared" si="51"/>
        <v>1</v>
      </c>
      <c r="Y373" s="419">
        <f t="shared" si="52"/>
        <v>1</v>
      </c>
      <c r="Z373" s="419">
        <f t="shared" si="53"/>
        <v>0.86394311032031734</v>
      </c>
      <c r="AB373" s="429">
        <f t="shared" si="55"/>
        <v>1</v>
      </c>
      <c r="AC373" s="430">
        <f t="shared" si="55"/>
        <v>1</v>
      </c>
      <c r="AD373" s="430">
        <f t="shared" si="55"/>
        <v>1</v>
      </c>
      <c r="AE373" s="432">
        <f t="shared" si="55"/>
        <v>1</v>
      </c>
      <c r="AF373" s="433">
        <f t="shared" si="54"/>
        <v>1</v>
      </c>
      <c r="AG373" s="434">
        <f t="shared" si="54"/>
        <v>1</v>
      </c>
      <c r="AH373" s="434">
        <f t="shared" si="54"/>
        <v>0.86394311032031734</v>
      </c>
    </row>
    <row r="374" spans="1:34" ht="33" customHeight="1" x14ac:dyDescent="0.35">
      <c r="A374" s="413" t="s">
        <v>736</v>
      </c>
      <c r="B374" s="260" t="s">
        <v>161</v>
      </c>
      <c r="C374" s="259" t="s">
        <v>837</v>
      </c>
      <c r="D374" s="260" t="s">
        <v>918</v>
      </c>
      <c r="E374" s="260" t="s">
        <v>838</v>
      </c>
      <c r="F374" s="414"/>
      <c r="G374" s="429">
        <v>0</v>
      </c>
      <c r="H374" s="430">
        <v>1</v>
      </c>
      <c r="I374" s="431">
        <v>1</v>
      </c>
      <c r="J374" s="432">
        <v>0.2</v>
      </c>
      <c r="K374" s="433">
        <v>0.16666666666666657</v>
      </c>
      <c r="L374" s="434">
        <v>0.25</v>
      </c>
      <c r="M374" s="435">
        <v>82.855333549620809</v>
      </c>
      <c r="N374" s="420">
        <v>-82.855333549620809</v>
      </c>
      <c r="T374" s="415">
        <f t="shared" si="47"/>
        <v>0</v>
      </c>
      <c r="U374" s="416">
        <f t="shared" si="48"/>
        <v>0.25</v>
      </c>
      <c r="V374" s="416">
        <f t="shared" si="49"/>
        <v>0.25</v>
      </c>
      <c r="W374" s="417">
        <f t="shared" si="50"/>
        <v>7.3684210526315755E-2</v>
      </c>
      <c r="X374" s="418">
        <f t="shared" si="51"/>
        <v>-4.1666666666666796E-2</v>
      </c>
      <c r="Y374" s="419">
        <f t="shared" si="52"/>
        <v>0</v>
      </c>
      <c r="Z374" s="419">
        <f t="shared" si="53"/>
        <v>6.2414495617813516E-2</v>
      </c>
      <c r="AB374" s="429">
        <f t="shared" si="55"/>
        <v>0</v>
      </c>
      <c r="AC374" s="430">
        <f t="shared" si="55"/>
        <v>0.25</v>
      </c>
      <c r="AD374" s="430">
        <f t="shared" si="55"/>
        <v>0.25</v>
      </c>
      <c r="AE374" s="432">
        <f t="shared" si="55"/>
        <v>7.3684210526315755E-2</v>
      </c>
      <c r="AF374" s="433">
        <f t="shared" si="54"/>
        <v>0</v>
      </c>
      <c r="AG374" s="434">
        <f t="shared" si="54"/>
        <v>0</v>
      </c>
      <c r="AH374" s="434">
        <f t="shared" si="54"/>
        <v>6.2414495617813516E-2</v>
      </c>
    </row>
    <row r="375" spans="1:34" ht="33" customHeight="1" x14ac:dyDescent="0.35">
      <c r="A375" s="413" t="s">
        <v>736</v>
      </c>
      <c r="B375" s="260" t="s">
        <v>164</v>
      </c>
      <c r="C375" s="259" t="s">
        <v>839</v>
      </c>
      <c r="D375" s="462" t="s">
        <v>915</v>
      </c>
      <c r="E375" s="260" t="s">
        <v>840</v>
      </c>
      <c r="F375" s="414"/>
      <c r="G375" s="429">
        <v>0</v>
      </c>
      <c r="H375" s="430">
        <v>0</v>
      </c>
      <c r="I375" s="431">
        <v>0</v>
      </c>
      <c r="J375" s="432">
        <v>0.15</v>
      </c>
      <c r="K375" s="433">
        <v>0.16666666666666657</v>
      </c>
      <c r="L375" s="434">
        <v>0.3125</v>
      </c>
      <c r="M375" s="463">
        <v>137.03590992087641</v>
      </c>
      <c r="N375" s="420">
        <v>-137.03590992087641</v>
      </c>
      <c r="T375" s="415">
        <f t="shared" si="47"/>
        <v>0</v>
      </c>
      <c r="U375" s="416">
        <f t="shared" si="48"/>
        <v>0</v>
      </c>
      <c r="V375" s="416">
        <f t="shared" si="49"/>
        <v>0</v>
      </c>
      <c r="W375" s="417">
        <f t="shared" si="50"/>
        <v>1.5789473684210468E-2</v>
      </c>
      <c r="X375" s="418">
        <f t="shared" si="51"/>
        <v>-4.1666666666666796E-2</v>
      </c>
      <c r="Y375" s="419">
        <f t="shared" si="52"/>
        <v>8.3333333333333329E-2</v>
      </c>
      <c r="Z375" s="419">
        <f t="shared" si="53"/>
        <v>-0.44095343580955121</v>
      </c>
      <c r="AB375" s="429">
        <f t="shared" si="55"/>
        <v>0</v>
      </c>
      <c r="AC375" s="430">
        <f t="shared" si="55"/>
        <v>0</v>
      </c>
      <c r="AD375" s="430">
        <f t="shared" si="55"/>
        <v>0</v>
      </c>
      <c r="AE375" s="432">
        <f t="shared" si="55"/>
        <v>1.5789473684210468E-2</v>
      </c>
      <c r="AF375" s="433">
        <f t="shared" si="54"/>
        <v>0</v>
      </c>
      <c r="AG375" s="434">
        <f t="shared" si="54"/>
        <v>8.3333333333333329E-2</v>
      </c>
      <c r="AH375" s="434">
        <f t="shared" si="54"/>
        <v>0</v>
      </c>
    </row>
    <row r="376" spans="1:34" ht="33" customHeight="1" x14ac:dyDescent="0.35">
      <c r="A376" s="413" t="s">
        <v>736</v>
      </c>
      <c r="B376" s="260" t="s">
        <v>167</v>
      </c>
      <c r="C376" s="259" t="s">
        <v>841</v>
      </c>
      <c r="D376" s="260" t="s">
        <v>918</v>
      </c>
      <c r="E376" s="260" t="s">
        <v>842</v>
      </c>
      <c r="F376" s="414"/>
      <c r="G376" s="429">
        <v>2</v>
      </c>
      <c r="H376" s="430">
        <v>1</v>
      </c>
      <c r="I376" s="431">
        <v>0</v>
      </c>
      <c r="J376" s="432">
        <v>0.5</v>
      </c>
      <c r="K376" s="433">
        <v>0.66666666666666674</v>
      </c>
      <c r="L376" s="434">
        <v>1</v>
      </c>
      <c r="M376" s="435">
        <v>145.7011526299512</v>
      </c>
      <c r="N376" s="420">
        <v>-145.7011526299512</v>
      </c>
      <c r="T376" s="415">
        <f t="shared" si="47"/>
        <v>0.5</v>
      </c>
      <c r="U376" s="416">
        <f t="shared" si="48"/>
        <v>0.25</v>
      </c>
      <c r="V376" s="416">
        <f t="shared" si="49"/>
        <v>0</v>
      </c>
      <c r="W376" s="417">
        <f t="shared" si="50"/>
        <v>0.42105263157894735</v>
      </c>
      <c r="X376" s="418">
        <f t="shared" si="51"/>
        <v>0.58333333333333337</v>
      </c>
      <c r="Y376" s="419">
        <f t="shared" si="52"/>
        <v>1</v>
      </c>
      <c r="Z376" s="419">
        <f t="shared" si="53"/>
        <v>-0.52145839884086176</v>
      </c>
      <c r="AB376" s="429">
        <f t="shared" si="55"/>
        <v>0.5</v>
      </c>
      <c r="AC376" s="430">
        <f t="shared" si="55"/>
        <v>0.25</v>
      </c>
      <c r="AD376" s="430">
        <f t="shared" si="55"/>
        <v>0</v>
      </c>
      <c r="AE376" s="432">
        <f t="shared" si="55"/>
        <v>0.42105263157894735</v>
      </c>
      <c r="AF376" s="433">
        <f t="shared" si="54"/>
        <v>0.58333333333333337</v>
      </c>
      <c r="AG376" s="434">
        <f t="shared" si="54"/>
        <v>1</v>
      </c>
      <c r="AH376" s="434">
        <f t="shared" si="54"/>
        <v>0</v>
      </c>
    </row>
    <row r="377" spans="1:34" ht="33" customHeight="1" x14ac:dyDescent="0.35">
      <c r="A377" s="413" t="s">
        <v>736</v>
      </c>
      <c r="B377" s="260" t="s">
        <v>170</v>
      </c>
      <c r="C377" s="259" t="s">
        <v>843</v>
      </c>
      <c r="D377" s="260" t="s">
        <v>918</v>
      </c>
      <c r="E377" s="260" t="s">
        <v>844</v>
      </c>
      <c r="F377" s="414"/>
      <c r="G377" s="429">
        <v>0</v>
      </c>
      <c r="H377" s="430">
        <v>0</v>
      </c>
      <c r="I377" s="431">
        <v>0</v>
      </c>
      <c r="J377" s="432">
        <v>0.2</v>
      </c>
      <c r="K377" s="433">
        <v>0.44444444444444442</v>
      </c>
      <c r="L377" s="434">
        <v>0.5</v>
      </c>
      <c r="M377" s="435">
        <v>88.097535645449469</v>
      </c>
      <c r="N377" s="420">
        <v>-88.097535645449469</v>
      </c>
      <c r="T377" s="415">
        <f t="shared" si="47"/>
        <v>0</v>
      </c>
      <c r="U377" s="416">
        <f t="shared" si="48"/>
        <v>0</v>
      </c>
      <c r="V377" s="416">
        <f t="shared" si="49"/>
        <v>0</v>
      </c>
      <c r="W377" s="417">
        <f t="shared" si="50"/>
        <v>7.3684210526315755E-2</v>
      </c>
      <c r="X377" s="418">
        <f t="shared" si="51"/>
        <v>0.30555555555555547</v>
      </c>
      <c r="Y377" s="419">
        <f t="shared" si="52"/>
        <v>0.33333333333333331</v>
      </c>
      <c r="Z377" s="419">
        <f t="shared" si="53"/>
        <v>1.3711499049076257E-2</v>
      </c>
      <c r="AB377" s="429">
        <f t="shared" si="55"/>
        <v>0</v>
      </c>
      <c r="AC377" s="430">
        <f t="shared" si="55"/>
        <v>0</v>
      </c>
      <c r="AD377" s="430">
        <f t="shared" si="55"/>
        <v>0</v>
      </c>
      <c r="AE377" s="432">
        <f t="shared" si="55"/>
        <v>7.3684210526315755E-2</v>
      </c>
      <c r="AF377" s="433">
        <f t="shared" si="54"/>
        <v>0.30555555555555547</v>
      </c>
      <c r="AG377" s="434">
        <f t="shared" si="54"/>
        <v>0.33333333333333331</v>
      </c>
      <c r="AH377" s="434">
        <f t="shared" si="54"/>
        <v>1.3711499049076257E-2</v>
      </c>
    </row>
    <row r="378" spans="1:34" ht="33" customHeight="1" x14ac:dyDescent="0.35">
      <c r="A378" s="413" t="s">
        <v>736</v>
      </c>
      <c r="B378" s="260" t="s">
        <v>173</v>
      </c>
      <c r="C378" s="259" t="s">
        <v>845</v>
      </c>
      <c r="D378" s="260" t="s">
        <v>916</v>
      </c>
      <c r="E378" s="260" t="s">
        <v>846</v>
      </c>
      <c r="F378" s="414"/>
      <c r="G378" s="429">
        <v>0</v>
      </c>
      <c r="H378" s="430">
        <v>0</v>
      </c>
      <c r="I378" s="431">
        <v>0</v>
      </c>
      <c r="J378" s="432">
        <v>0.2</v>
      </c>
      <c r="K378" s="433">
        <v>0.16666666666666657</v>
      </c>
      <c r="L378" s="434">
        <v>0.3125</v>
      </c>
      <c r="M378" s="435">
        <v>158.33509568491621</v>
      </c>
      <c r="N378" s="420">
        <v>-158.33509568491621</v>
      </c>
      <c r="T378" s="415">
        <f t="shared" si="47"/>
        <v>0</v>
      </c>
      <c r="U378" s="416">
        <f t="shared" si="48"/>
        <v>0</v>
      </c>
      <c r="V378" s="416">
        <f t="shared" si="49"/>
        <v>0</v>
      </c>
      <c r="W378" s="417">
        <f t="shared" si="50"/>
        <v>7.3684210526315755E-2</v>
      </c>
      <c r="X378" s="418">
        <f t="shared" si="51"/>
        <v>-4.1666666666666796E-2</v>
      </c>
      <c r="Y378" s="419">
        <f t="shared" si="52"/>
        <v>8.3333333333333329E-2</v>
      </c>
      <c r="Z378" s="419">
        <f t="shared" si="53"/>
        <v>-0.63883481318116353</v>
      </c>
      <c r="AB378" s="429">
        <f t="shared" si="55"/>
        <v>0</v>
      </c>
      <c r="AC378" s="430">
        <f t="shared" si="55"/>
        <v>0</v>
      </c>
      <c r="AD378" s="430">
        <f t="shared" si="55"/>
        <v>0</v>
      </c>
      <c r="AE378" s="432">
        <f t="shared" si="55"/>
        <v>7.3684210526315755E-2</v>
      </c>
      <c r="AF378" s="433">
        <f t="shared" si="54"/>
        <v>0</v>
      </c>
      <c r="AG378" s="434">
        <f t="shared" si="54"/>
        <v>8.3333333333333329E-2</v>
      </c>
      <c r="AH378" s="434">
        <f t="shared" si="54"/>
        <v>0</v>
      </c>
    </row>
    <row r="379" spans="1:34" ht="33" customHeight="1" x14ac:dyDescent="0.35">
      <c r="A379" s="413" t="s">
        <v>736</v>
      </c>
      <c r="B379" s="260" t="s">
        <v>176</v>
      </c>
      <c r="C379" s="259" t="s">
        <v>847</v>
      </c>
      <c r="D379" s="260" t="s">
        <v>916</v>
      </c>
      <c r="E379" s="260" t="s">
        <v>848</v>
      </c>
      <c r="F379" s="414"/>
      <c r="G379" s="429">
        <v>0</v>
      </c>
      <c r="H379" s="430">
        <v>0</v>
      </c>
      <c r="I379" s="431">
        <v>0</v>
      </c>
      <c r="J379" s="432">
        <v>0.25</v>
      </c>
      <c r="K379" s="433">
        <v>0.22222222222222215</v>
      </c>
      <c r="L379" s="434">
        <v>0.4375</v>
      </c>
      <c r="M379" s="435">
        <v>94.43803326616333</v>
      </c>
      <c r="N379" s="420">
        <v>-94.43803326616333</v>
      </c>
      <c r="T379" s="415">
        <f t="shared" si="47"/>
        <v>0</v>
      </c>
      <c r="U379" s="416">
        <f t="shared" si="48"/>
        <v>0</v>
      </c>
      <c r="V379" s="416">
        <f t="shared" si="49"/>
        <v>0</v>
      </c>
      <c r="W379" s="417">
        <f t="shared" si="50"/>
        <v>0.13157894736842102</v>
      </c>
      <c r="X379" s="418">
        <f t="shared" si="51"/>
        <v>2.7777777777777679E-2</v>
      </c>
      <c r="Y379" s="419">
        <f t="shared" si="52"/>
        <v>0.25</v>
      </c>
      <c r="Z379" s="419">
        <f t="shared" si="53"/>
        <v>-4.5195278717357852E-2</v>
      </c>
      <c r="AB379" s="429">
        <f t="shared" si="55"/>
        <v>0</v>
      </c>
      <c r="AC379" s="430">
        <f t="shared" si="55"/>
        <v>0</v>
      </c>
      <c r="AD379" s="430">
        <f t="shared" si="55"/>
        <v>0</v>
      </c>
      <c r="AE379" s="432">
        <f t="shared" si="55"/>
        <v>0.13157894736842102</v>
      </c>
      <c r="AF379" s="433">
        <f t="shared" si="54"/>
        <v>2.7777777777777679E-2</v>
      </c>
      <c r="AG379" s="434">
        <f t="shared" si="54"/>
        <v>0.25</v>
      </c>
      <c r="AH379" s="434">
        <f t="shared" si="54"/>
        <v>0</v>
      </c>
    </row>
    <row r="380" spans="1:34" ht="33" customHeight="1" x14ac:dyDescent="0.35">
      <c r="A380" s="426" t="s">
        <v>736</v>
      </c>
      <c r="B380" s="427" t="s">
        <v>179</v>
      </c>
      <c r="C380" s="428" t="s">
        <v>849</v>
      </c>
      <c r="D380" s="260" t="s">
        <v>916</v>
      </c>
      <c r="E380" s="260" t="s">
        <v>850</v>
      </c>
      <c r="F380" s="414"/>
      <c r="G380" s="429">
        <v>4</v>
      </c>
      <c r="H380" s="430">
        <v>4</v>
      </c>
      <c r="I380" s="431">
        <v>4</v>
      </c>
      <c r="J380" s="432">
        <v>1</v>
      </c>
      <c r="K380" s="433">
        <v>1</v>
      </c>
      <c r="L380" s="434">
        <v>1</v>
      </c>
      <c r="M380" s="435">
        <v>-0.2143950858850675</v>
      </c>
      <c r="N380" s="420">
        <v>0.2143950858850675</v>
      </c>
      <c r="T380" s="415">
        <f t="shared" si="47"/>
        <v>1</v>
      </c>
      <c r="U380" s="416">
        <f t="shared" si="48"/>
        <v>1</v>
      </c>
      <c r="V380" s="416">
        <f t="shared" si="49"/>
        <v>1</v>
      </c>
      <c r="W380" s="417">
        <f t="shared" si="50"/>
        <v>1</v>
      </c>
      <c r="X380" s="418">
        <f t="shared" si="51"/>
        <v>1</v>
      </c>
      <c r="Y380" s="419">
        <f t="shared" si="52"/>
        <v>1</v>
      </c>
      <c r="Z380" s="419">
        <f t="shared" si="53"/>
        <v>0.83417884860227209</v>
      </c>
      <c r="AB380" s="429">
        <f t="shared" si="55"/>
        <v>1</v>
      </c>
      <c r="AC380" s="430">
        <f t="shared" si="55"/>
        <v>1</v>
      </c>
      <c r="AD380" s="430">
        <f t="shared" si="55"/>
        <v>1</v>
      </c>
      <c r="AE380" s="432">
        <f t="shared" si="55"/>
        <v>1</v>
      </c>
      <c r="AF380" s="433">
        <f t="shared" si="54"/>
        <v>1</v>
      </c>
      <c r="AG380" s="434">
        <f t="shared" si="54"/>
        <v>1</v>
      </c>
      <c r="AH380" s="434">
        <f t="shared" si="54"/>
        <v>0.83417884860227209</v>
      </c>
    </row>
    <row r="381" spans="1:34" ht="33" customHeight="1" x14ac:dyDescent="0.35">
      <c r="A381" s="413" t="s">
        <v>736</v>
      </c>
      <c r="B381" s="260" t="s">
        <v>182</v>
      </c>
      <c r="C381" s="259" t="s">
        <v>851</v>
      </c>
      <c r="D381" s="260" t="s">
        <v>918</v>
      </c>
      <c r="E381" s="260" t="s">
        <v>852</v>
      </c>
      <c r="F381" s="414"/>
      <c r="G381" s="429">
        <v>0</v>
      </c>
      <c r="H381" s="430">
        <v>0</v>
      </c>
      <c r="I381" s="431">
        <v>0</v>
      </c>
      <c r="J381" s="432">
        <v>0.1</v>
      </c>
      <c r="K381" s="433">
        <v>0.22222222222222215</v>
      </c>
      <c r="L381" s="434">
        <v>0.375</v>
      </c>
      <c r="M381" s="435">
        <v>152.13224725909129</v>
      </c>
      <c r="N381" s="420">
        <v>-152.13224725909129</v>
      </c>
      <c r="T381" s="415">
        <f t="shared" si="47"/>
        <v>0</v>
      </c>
      <c r="U381" s="416">
        <f t="shared" si="48"/>
        <v>0</v>
      </c>
      <c r="V381" s="416">
        <f t="shared" si="49"/>
        <v>0</v>
      </c>
      <c r="W381" s="417">
        <f t="shared" si="50"/>
        <v>-4.2105263157894784E-2</v>
      </c>
      <c r="X381" s="418">
        <f t="shared" si="51"/>
        <v>2.7777777777777679E-2</v>
      </c>
      <c r="Y381" s="419">
        <f t="shared" si="52"/>
        <v>0.16666666666666666</v>
      </c>
      <c r="Z381" s="419">
        <f t="shared" si="53"/>
        <v>-0.58120687360978873</v>
      </c>
      <c r="AB381" s="429">
        <f t="shared" si="55"/>
        <v>0</v>
      </c>
      <c r="AC381" s="430">
        <f t="shared" si="55"/>
        <v>0</v>
      </c>
      <c r="AD381" s="430">
        <f t="shared" si="55"/>
        <v>0</v>
      </c>
      <c r="AE381" s="432">
        <f t="shared" si="55"/>
        <v>0</v>
      </c>
      <c r="AF381" s="433">
        <f t="shared" si="54"/>
        <v>2.7777777777777679E-2</v>
      </c>
      <c r="AG381" s="434">
        <f t="shared" si="54"/>
        <v>0.16666666666666666</v>
      </c>
      <c r="AH381" s="434">
        <f t="shared" si="54"/>
        <v>0</v>
      </c>
    </row>
    <row r="382" spans="1:34" ht="33" customHeight="1" x14ac:dyDescent="0.35">
      <c r="A382" s="413" t="s">
        <v>736</v>
      </c>
      <c r="B382" s="260" t="s">
        <v>185</v>
      </c>
      <c r="C382" s="259" t="s">
        <v>853</v>
      </c>
      <c r="D382" s="260" t="s">
        <v>916</v>
      </c>
      <c r="E382" s="260" t="s">
        <v>854</v>
      </c>
      <c r="F382" s="414"/>
      <c r="G382" s="429">
        <v>0</v>
      </c>
      <c r="H382" s="430">
        <v>0</v>
      </c>
      <c r="I382" s="431">
        <v>0</v>
      </c>
      <c r="J382" s="432">
        <v>0.2</v>
      </c>
      <c r="K382" s="433">
        <v>0.27777777777777785</v>
      </c>
      <c r="L382" s="434">
        <v>0.375</v>
      </c>
      <c r="M382" s="435">
        <v>107.11746802762318</v>
      </c>
      <c r="N382" s="420">
        <v>-107.11746802762318</v>
      </c>
      <c r="T382" s="415">
        <f t="shared" si="47"/>
        <v>0</v>
      </c>
      <c r="U382" s="416">
        <f t="shared" si="48"/>
        <v>0</v>
      </c>
      <c r="V382" s="416">
        <f t="shared" si="49"/>
        <v>0</v>
      </c>
      <c r="W382" s="417">
        <f t="shared" si="50"/>
        <v>7.3684210526315755E-2</v>
      </c>
      <c r="X382" s="418">
        <f t="shared" si="51"/>
        <v>9.7222222222222293E-2</v>
      </c>
      <c r="Y382" s="419">
        <f t="shared" si="52"/>
        <v>0.16666666666666666</v>
      </c>
      <c r="Z382" s="419">
        <f t="shared" si="53"/>
        <v>-0.16299433651642414</v>
      </c>
      <c r="AB382" s="429">
        <f t="shared" si="55"/>
        <v>0</v>
      </c>
      <c r="AC382" s="430">
        <f t="shared" si="55"/>
        <v>0</v>
      </c>
      <c r="AD382" s="430">
        <f t="shared" si="55"/>
        <v>0</v>
      </c>
      <c r="AE382" s="432">
        <f t="shared" si="55"/>
        <v>7.3684210526315755E-2</v>
      </c>
      <c r="AF382" s="433">
        <f t="shared" si="54"/>
        <v>9.7222222222222293E-2</v>
      </c>
      <c r="AG382" s="434">
        <f t="shared" si="54"/>
        <v>0.16666666666666666</v>
      </c>
      <c r="AH382" s="434">
        <f t="shared" si="54"/>
        <v>0</v>
      </c>
    </row>
    <row r="383" spans="1:34" ht="33" customHeight="1" x14ac:dyDescent="0.35">
      <c r="A383" s="413" t="s">
        <v>736</v>
      </c>
      <c r="B383" s="260" t="s">
        <v>188</v>
      </c>
      <c r="C383" s="259" t="s">
        <v>855</v>
      </c>
      <c r="D383" s="260" t="s">
        <v>923</v>
      </c>
      <c r="E383" s="260" t="s">
        <v>856</v>
      </c>
      <c r="F383" s="414"/>
      <c r="G383" s="429">
        <v>0</v>
      </c>
      <c r="H383" s="430">
        <v>2</v>
      </c>
      <c r="I383" s="431">
        <v>4</v>
      </c>
      <c r="J383" s="432">
        <v>0.25</v>
      </c>
      <c r="K383" s="433">
        <v>0.55555555555555558</v>
      </c>
      <c r="L383" s="434">
        <v>1</v>
      </c>
      <c r="M383" s="463">
        <v>121.63724893487526</v>
      </c>
      <c r="N383" s="420">
        <v>-121.63724893487526</v>
      </c>
      <c r="T383" s="415">
        <f t="shared" si="47"/>
        <v>0</v>
      </c>
      <c r="U383" s="416">
        <f t="shared" si="48"/>
        <v>0.5</v>
      </c>
      <c r="V383" s="416">
        <f t="shared" si="49"/>
        <v>1</v>
      </c>
      <c r="W383" s="417">
        <f t="shared" si="50"/>
        <v>0.13157894736842102</v>
      </c>
      <c r="X383" s="418">
        <f t="shared" si="51"/>
        <v>0.44444444444444442</v>
      </c>
      <c r="Y383" s="419">
        <f t="shared" si="52"/>
        <v>1</v>
      </c>
      <c r="Z383" s="419">
        <f t="shared" si="53"/>
        <v>-0.29789124182028792</v>
      </c>
      <c r="AB383" s="429">
        <f t="shared" si="55"/>
        <v>0</v>
      </c>
      <c r="AC383" s="430">
        <f t="shared" si="55"/>
        <v>0.5</v>
      </c>
      <c r="AD383" s="430">
        <f t="shared" si="55"/>
        <v>1</v>
      </c>
      <c r="AE383" s="432">
        <f t="shared" si="55"/>
        <v>0.13157894736842102</v>
      </c>
      <c r="AF383" s="433">
        <f t="shared" si="54"/>
        <v>0.44444444444444442</v>
      </c>
      <c r="AG383" s="434">
        <f t="shared" si="54"/>
        <v>1</v>
      </c>
      <c r="AH383" s="434">
        <f t="shared" si="54"/>
        <v>0</v>
      </c>
    </row>
    <row r="384" spans="1:34" ht="33" customHeight="1" x14ac:dyDescent="0.35">
      <c r="A384" s="413" t="s">
        <v>736</v>
      </c>
      <c r="B384" s="260" t="s">
        <v>191</v>
      </c>
      <c r="C384" s="259" t="s">
        <v>857</v>
      </c>
      <c r="D384" s="260" t="s">
        <v>916</v>
      </c>
      <c r="E384" s="260" t="s">
        <v>858</v>
      </c>
      <c r="F384" s="414"/>
      <c r="G384" s="429">
        <v>0</v>
      </c>
      <c r="H384" s="430">
        <v>0</v>
      </c>
      <c r="I384" s="431">
        <v>0</v>
      </c>
      <c r="J384" s="432">
        <v>0.05</v>
      </c>
      <c r="K384" s="433">
        <v>2.7027027027026945E-2</v>
      </c>
      <c r="L384" s="434">
        <v>3.0303030303030311E-2</v>
      </c>
      <c r="M384" s="435">
        <v>90.617532453153302</v>
      </c>
      <c r="N384" s="420">
        <v>-90.617532453153302</v>
      </c>
      <c r="T384" s="415">
        <f t="shared" si="47"/>
        <v>0</v>
      </c>
      <c r="U384" s="416">
        <f t="shared" si="48"/>
        <v>0</v>
      </c>
      <c r="V384" s="416">
        <f t="shared" si="49"/>
        <v>0</v>
      </c>
      <c r="W384" s="417">
        <f t="shared" si="50"/>
        <v>-0.10000000000000006</v>
      </c>
      <c r="X384" s="418">
        <f t="shared" si="51"/>
        <v>-0.21621621621621631</v>
      </c>
      <c r="Y384" s="419">
        <f t="shared" si="52"/>
        <v>-0.29292929292929293</v>
      </c>
      <c r="Z384" s="419">
        <f t="shared" si="53"/>
        <v>-9.7006841585282021E-3</v>
      </c>
      <c r="AB384" s="429">
        <f t="shared" si="55"/>
        <v>0</v>
      </c>
      <c r="AC384" s="430">
        <f t="shared" si="55"/>
        <v>0</v>
      </c>
      <c r="AD384" s="430">
        <f t="shared" si="55"/>
        <v>0</v>
      </c>
      <c r="AE384" s="432">
        <f t="shared" si="55"/>
        <v>0</v>
      </c>
      <c r="AF384" s="433">
        <f t="shared" si="54"/>
        <v>0</v>
      </c>
      <c r="AG384" s="434">
        <f t="shared" si="54"/>
        <v>0</v>
      </c>
      <c r="AH384" s="434">
        <f t="shared" si="54"/>
        <v>0</v>
      </c>
    </row>
    <row r="385" spans="1:34" ht="33" customHeight="1" x14ac:dyDescent="0.35">
      <c r="A385" s="413" t="s">
        <v>736</v>
      </c>
      <c r="B385" s="260" t="s">
        <v>194</v>
      </c>
      <c r="C385" s="259" t="s">
        <v>859</v>
      </c>
      <c r="D385" s="260" t="s">
        <v>916</v>
      </c>
      <c r="E385" s="260" t="s">
        <v>860</v>
      </c>
      <c r="F385" s="414"/>
      <c r="G385" s="429">
        <v>1</v>
      </c>
      <c r="H385" s="430">
        <v>1</v>
      </c>
      <c r="I385" s="431">
        <v>2</v>
      </c>
      <c r="J385" s="452">
        <v>0.15</v>
      </c>
      <c r="K385" s="453">
        <v>0.05</v>
      </c>
      <c r="L385" s="454">
        <v>5.5555555555555573E-2</v>
      </c>
      <c r="M385" s="455">
        <v>45.152681075494719</v>
      </c>
      <c r="N385" s="420">
        <v>-45.152681075494719</v>
      </c>
      <c r="T385" s="415">
        <f t="shared" si="47"/>
        <v>0.25</v>
      </c>
      <c r="U385" s="416">
        <f t="shared" si="48"/>
        <v>0.25</v>
      </c>
      <c r="V385" s="416">
        <f t="shared" si="49"/>
        <v>0.5</v>
      </c>
      <c r="W385" s="417">
        <f t="shared" si="50"/>
        <v>1.5789473684210468E-2</v>
      </c>
      <c r="X385" s="418">
        <f t="shared" si="51"/>
        <v>-0.18750000000000003</v>
      </c>
      <c r="Y385" s="419">
        <f t="shared" si="52"/>
        <v>-0.25925925925925924</v>
      </c>
      <c r="Z385" s="419">
        <f t="shared" si="53"/>
        <v>0.41269327551086427</v>
      </c>
      <c r="AB385" s="429">
        <f t="shared" si="55"/>
        <v>0.25</v>
      </c>
      <c r="AC385" s="430">
        <f t="shared" si="55"/>
        <v>0.25</v>
      </c>
      <c r="AD385" s="430">
        <f t="shared" si="55"/>
        <v>0.5</v>
      </c>
      <c r="AE385" s="432">
        <f t="shared" si="55"/>
        <v>1.5789473684210468E-2</v>
      </c>
      <c r="AF385" s="433">
        <f t="shared" si="54"/>
        <v>0</v>
      </c>
      <c r="AG385" s="434">
        <f t="shared" si="54"/>
        <v>0</v>
      </c>
      <c r="AH385" s="434">
        <f t="shared" si="54"/>
        <v>0.41269327551086427</v>
      </c>
    </row>
    <row r="386" spans="1:34" ht="33" customHeight="1" x14ac:dyDescent="0.35">
      <c r="A386" s="413" t="s">
        <v>736</v>
      </c>
      <c r="B386" s="260" t="s">
        <v>197</v>
      </c>
      <c r="C386" s="259" t="s">
        <v>861</v>
      </c>
      <c r="D386" s="260" t="s">
        <v>916</v>
      </c>
      <c r="E386" s="260" t="s">
        <v>862</v>
      </c>
      <c r="F386" s="414"/>
      <c r="G386" s="429">
        <v>0</v>
      </c>
      <c r="H386" s="430">
        <v>0</v>
      </c>
      <c r="I386" s="431">
        <v>0</v>
      </c>
      <c r="J386" s="432">
        <v>0</v>
      </c>
      <c r="K386" s="433">
        <v>8.1081081081080975E-2</v>
      </c>
      <c r="L386" s="434">
        <v>0.15151515151515155</v>
      </c>
      <c r="M386" s="435">
        <v>16.435896448927217</v>
      </c>
      <c r="N386" s="420">
        <v>-16.435896448927217</v>
      </c>
      <c r="T386" s="415">
        <f t="shared" si="47"/>
        <v>0</v>
      </c>
      <c r="U386" s="416">
        <f t="shared" si="48"/>
        <v>0</v>
      </c>
      <c r="V386" s="416">
        <f t="shared" si="49"/>
        <v>0</v>
      </c>
      <c r="W386" s="417">
        <f t="shared" si="50"/>
        <v>-0.15789473684210534</v>
      </c>
      <c r="X386" s="418">
        <f t="shared" si="51"/>
        <v>-0.1486486486486488</v>
      </c>
      <c r="Y386" s="419">
        <f t="shared" si="52"/>
        <v>-0.13131313131313127</v>
      </c>
      <c r="Z386" s="419">
        <f t="shared" si="53"/>
        <v>0.67948830507406566</v>
      </c>
      <c r="AB386" s="429">
        <f t="shared" si="55"/>
        <v>0</v>
      </c>
      <c r="AC386" s="430">
        <f t="shared" si="55"/>
        <v>0</v>
      </c>
      <c r="AD386" s="430">
        <f t="shared" si="55"/>
        <v>0</v>
      </c>
      <c r="AE386" s="432">
        <f t="shared" si="55"/>
        <v>0</v>
      </c>
      <c r="AF386" s="433">
        <f t="shared" si="54"/>
        <v>0</v>
      </c>
      <c r="AG386" s="434">
        <f t="shared" si="54"/>
        <v>0</v>
      </c>
      <c r="AH386" s="434">
        <f t="shared" si="54"/>
        <v>0.67948830507406566</v>
      </c>
    </row>
    <row r="387" spans="1:34" ht="33" customHeight="1" x14ac:dyDescent="0.35">
      <c r="A387" s="413" t="s">
        <v>736</v>
      </c>
      <c r="B387" s="260" t="s">
        <v>200</v>
      </c>
      <c r="C387" s="259" t="s">
        <v>863</v>
      </c>
      <c r="D387" s="260" t="s">
        <v>918</v>
      </c>
      <c r="E387" s="260" t="s">
        <v>864</v>
      </c>
      <c r="F387" s="414"/>
      <c r="G387" s="429">
        <v>0</v>
      </c>
      <c r="H387" s="430">
        <v>0</v>
      </c>
      <c r="I387" s="431">
        <v>0</v>
      </c>
      <c r="J387" s="432">
        <v>0.1</v>
      </c>
      <c r="K387" s="433">
        <v>0.13513513513513517</v>
      </c>
      <c r="L387" s="434">
        <v>0.15151515151515155</v>
      </c>
      <c r="M387" s="435">
        <v>104.34115123889478</v>
      </c>
      <c r="N387" s="420">
        <v>-104.34115123889478</v>
      </c>
      <c r="T387" s="415">
        <f t="shared" si="47"/>
        <v>0</v>
      </c>
      <c r="U387" s="416">
        <f t="shared" si="48"/>
        <v>0</v>
      </c>
      <c r="V387" s="416">
        <f t="shared" si="49"/>
        <v>0</v>
      </c>
      <c r="W387" s="417">
        <f t="shared" si="50"/>
        <v>-4.2105263157894784E-2</v>
      </c>
      <c r="X387" s="418">
        <f t="shared" si="51"/>
        <v>-8.1081081081081044E-2</v>
      </c>
      <c r="Y387" s="419">
        <f t="shared" si="52"/>
        <v>-0.13131313131313127</v>
      </c>
      <c r="Z387" s="419">
        <f t="shared" si="53"/>
        <v>-0.13720079697647389</v>
      </c>
      <c r="AB387" s="429">
        <f t="shared" si="55"/>
        <v>0</v>
      </c>
      <c r="AC387" s="430">
        <f t="shared" si="55"/>
        <v>0</v>
      </c>
      <c r="AD387" s="430">
        <f t="shared" si="55"/>
        <v>0</v>
      </c>
      <c r="AE387" s="432">
        <f t="shared" si="55"/>
        <v>0</v>
      </c>
      <c r="AF387" s="433">
        <f t="shared" si="54"/>
        <v>0</v>
      </c>
      <c r="AG387" s="434">
        <f t="shared" si="54"/>
        <v>0</v>
      </c>
      <c r="AH387" s="434">
        <f t="shared" si="54"/>
        <v>0</v>
      </c>
    </row>
    <row r="388" spans="1:34" ht="33" customHeight="1" x14ac:dyDescent="0.35">
      <c r="A388" s="413" t="s">
        <v>736</v>
      </c>
      <c r="B388" s="260" t="s">
        <v>203</v>
      </c>
      <c r="C388" s="259" t="s">
        <v>865</v>
      </c>
      <c r="D388" s="260" t="s">
        <v>919</v>
      </c>
      <c r="E388" s="260" t="s">
        <v>866</v>
      </c>
      <c r="F388" s="414" t="s">
        <v>954</v>
      </c>
      <c r="G388" s="429">
        <v>1</v>
      </c>
      <c r="H388" s="430">
        <v>0</v>
      </c>
      <c r="I388" s="431">
        <v>0</v>
      </c>
      <c r="J388" s="432">
        <v>0.05</v>
      </c>
      <c r="K388" s="433">
        <v>2.7027027027026945E-2</v>
      </c>
      <c r="L388" s="434">
        <v>0.15151515151515155</v>
      </c>
      <c r="M388" s="435">
        <v>108.92289876542256</v>
      </c>
      <c r="N388" s="420">
        <v>-108.92289876542256</v>
      </c>
      <c r="T388" s="415">
        <f t="shared" ref="T388:T403" si="56">(G388-$R$3)/($Q$3-$R$3)</f>
        <v>0.25</v>
      </c>
      <c r="U388" s="416">
        <f t="shared" ref="U388:U403" si="57">(H388-$R$4)/($Q$4-$R$4)</f>
        <v>0</v>
      </c>
      <c r="V388" s="416">
        <f t="shared" ref="V388:V403" si="58">(I388-$R$5)/($Q$5-$R$5)</f>
        <v>0</v>
      </c>
      <c r="W388" s="417">
        <f t="shared" ref="W388:W403" si="59">(J388-$R$7)/($Q$7-$R$7)</f>
        <v>-0.10000000000000006</v>
      </c>
      <c r="X388" s="418">
        <f t="shared" ref="X388:X403" si="60">(K388-$R$8)/($Q$8-$R$8)</f>
        <v>-0.21621621621621631</v>
      </c>
      <c r="Y388" s="419">
        <f t="shared" ref="Y388:Y403" si="61">(L388-$R$9)/($Q$9-$R$9)</f>
        <v>-0.13131313131313127</v>
      </c>
      <c r="Z388" s="419">
        <f t="shared" si="53"/>
        <v>-0.17976780030525899</v>
      </c>
      <c r="AB388" s="429">
        <f t="shared" si="55"/>
        <v>0.25</v>
      </c>
      <c r="AC388" s="430">
        <f t="shared" si="55"/>
        <v>0</v>
      </c>
      <c r="AD388" s="430">
        <f t="shared" si="55"/>
        <v>0</v>
      </c>
      <c r="AE388" s="432">
        <f t="shared" si="55"/>
        <v>0</v>
      </c>
      <c r="AF388" s="433">
        <f t="shared" si="54"/>
        <v>0</v>
      </c>
      <c r="AG388" s="434">
        <f t="shared" si="54"/>
        <v>0</v>
      </c>
      <c r="AH388" s="434">
        <f t="shared" si="54"/>
        <v>0</v>
      </c>
    </row>
    <row r="389" spans="1:34" ht="33" customHeight="1" x14ac:dyDescent="0.35">
      <c r="A389" s="413" t="s">
        <v>736</v>
      </c>
      <c r="B389" s="260" t="s">
        <v>206</v>
      </c>
      <c r="C389" s="259" t="s">
        <v>867</v>
      </c>
      <c r="D389" s="260" t="s">
        <v>919</v>
      </c>
      <c r="E389" s="260" t="s">
        <v>868</v>
      </c>
      <c r="F389" s="414" t="s">
        <v>935</v>
      </c>
      <c r="G389" s="429">
        <v>0</v>
      </c>
      <c r="H389" s="430">
        <v>0</v>
      </c>
      <c r="I389" s="431">
        <v>0</v>
      </c>
      <c r="J389" s="432">
        <v>0.05</v>
      </c>
      <c r="K389" s="433">
        <v>8.1081081081080975E-2</v>
      </c>
      <c r="L389" s="434">
        <v>0.33333333333333343</v>
      </c>
      <c r="M389" s="435">
        <v>20.38997214484683</v>
      </c>
      <c r="N389" s="420">
        <v>-20.38997214484683</v>
      </c>
      <c r="T389" s="415">
        <f t="shared" si="56"/>
        <v>0</v>
      </c>
      <c r="U389" s="416">
        <f t="shared" si="57"/>
        <v>0</v>
      </c>
      <c r="V389" s="416">
        <f t="shared" si="58"/>
        <v>0</v>
      </c>
      <c r="W389" s="417">
        <f t="shared" si="59"/>
        <v>-0.10000000000000006</v>
      </c>
      <c r="X389" s="418">
        <f t="shared" si="60"/>
        <v>-0.1486486486486488</v>
      </c>
      <c r="Y389" s="419">
        <f t="shared" si="61"/>
        <v>0.11111111111111123</v>
      </c>
      <c r="Z389" s="419">
        <f t="shared" ref="Z389:Z403" si="62">(N389-$R$11)/($Q$11-$R$11)</f>
        <v>0.64275272496277291</v>
      </c>
      <c r="AB389" s="429">
        <f t="shared" si="55"/>
        <v>0</v>
      </c>
      <c r="AC389" s="430">
        <f t="shared" si="55"/>
        <v>0</v>
      </c>
      <c r="AD389" s="430">
        <f t="shared" si="55"/>
        <v>0</v>
      </c>
      <c r="AE389" s="432">
        <f t="shared" si="55"/>
        <v>0</v>
      </c>
      <c r="AF389" s="433">
        <f t="shared" si="55"/>
        <v>0</v>
      </c>
      <c r="AG389" s="434">
        <f t="shared" si="55"/>
        <v>0.11111111111111123</v>
      </c>
      <c r="AH389" s="434">
        <f t="shared" si="55"/>
        <v>0.64275272496277291</v>
      </c>
    </row>
    <row r="390" spans="1:34" ht="33" customHeight="1" x14ac:dyDescent="0.35">
      <c r="A390" s="413" t="s">
        <v>736</v>
      </c>
      <c r="B390" s="260" t="s">
        <v>209</v>
      </c>
      <c r="C390" s="259" t="s">
        <v>869</v>
      </c>
      <c r="D390" s="260" t="s">
        <v>919</v>
      </c>
      <c r="E390" s="260" t="s">
        <v>870</v>
      </c>
      <c r="F390" s="414"/>
      <c r="G390" s="429">
        <v>1</v>
      </c>
      <c r="H390" s="430">
        <v>4</v>
      </c>
      <c r="I390" s="431">
        <v>4</v>
      </c>
      <c r="J390" s="432">
        <v>0</v>
      </c>
      <c r="K390" s="433">
        <v>0.1891891891891892</v>
      </c>
      <c r="L390" s="434">
        <v>0.69696969696969691</v>
      </c>
      <c r="M390" s="435">
        <v>20.668523676880227</v>
      </c>
      <c r="N390" s="420">
        <v>-20.668523676880227</v>
      </c>
      <c r="T390" s="415">
        <f t="shared" si="56"/>
        <v>0.25</v>
      </c>
      <c r="U390" s="416">
        <f t="shared" si="57"/>
        <v>1</v>
      </c>
      <c r="V390" s="416">
        <f t="shared" si="58"/>
        <v>1</v>
      </c>
      <c r="W390" s="417">
        <f t="shared" si="59"/>
        <v>-0.15789473684210534</v>
      </c>
      <c r="X390" s="418">
        <f t="shared" si="60"/>
        <v>-1.3513513513513514E-2</v>
      </c>
      <c r="Y390" s="419">
        <f t="shared" si="61"/>
        <v>0.59595959595959591</v>
      </c>
      <c r="Z390" s="419">
        <f t="shared" si="62"/>
        <v>0.64016482505719052</v>
      </c>
      <c r="AB390" s="429">
        <f t="shared" si="55"/>
        <v>0.25</v>
      </c>
      <c r="AC390" s="430">
        <f t="shared" si="55"/>
        <v>1</v>
      </c>
      <c r="AD390" s="430">
        <f t="shared" si="55"/>
        <v>1</v>
      </c>
      <c r="AE390" s="432">
        <f t="shared" si="55"/>
        <v>0</v>
      </c>
      <c r="AF390" s="433">
        <f t="shared" si="55"/>
        <v>0</v>
      </c>
      <c r="AG390" s="434">
        <f t="shared" si="55"/>
        <v>0.59595959595959591</v>
      </c>
      <c r="AH390" s="434">
        <f t="shared" si="55"/>
        <v>0.64016482505719052</v>
      </c>
    </row>
    <row r="391" spans="1:34" ht="33" customHeight="1" x14ac:dyDescent="0.35">
      <c r="A391" s="413" t="s">
        <v>736</v>
      </c>
      <c r="B391" s="260" t="s">
        <v>212</v>
      </c>
      <c r="C391" s="259" t="s">
        <v>871</v>
      </c>
      <c r="D391" s="260" t="s">
        <v>918</v>
      </c>
      <c r="E391" s="260" t="s">
        <v>872</v>
      </c>
      <c r="F391" s="414"/>
      <c r="G391" s="429">
        <v>0</v>
      </c>
      <c r="H391" s="430">
        <v>0</v>
      </c>
      <c r="I391" s="431">
        <v>0</v>
      </c>
      <c r="J391" s="432">
        <v>0</v>
      </c>
      <c r="K391" s="433">
        <v>0</v>
      </c>
      <c r="L391" s="434">
        <v>3.0303030303030311E-2</v>
      </c>
      <c r="M391" s="435">
        <v>85.67537350088034</v>
      </c>
      <c r="N391" s="420">
        <v>-85.67537350088034</v>
      </c>
      <c r="T391" s="415">
        <f t="shared" si="56"/>
        <v>0</v>
      </c>
      <c r="U391" s="416">
        <f t="shared" si="57"/>
        <v>0</v>
      </c>
      <c r="V391" s="416">
        <f t="shared" si="58"/>
        <v>0</v>
      </c>
      <c r="W391" s="417">
        <f t="shared" si="59"/>
        <v>-0.15789473684210534</v>
      </c>
      <c r="X391" s="418">
        <f t="shared" si="60"/>
        <v>-0.25</v>
      </c>
      <c r="Y391" s="419">
        <f t="shared" si="61"/>
        <v>-0.29292929292929293</v>
      </c>
      <c r="Z391" s="419">
        <f t="shared" si="62"/>
        <v>3.621474338407514E-2</v>
      </c>
      <c r="AB391" s="429">
        <f t="shared" si="55"/>
        <v>0</v>
      </c>
      <c r="AC391" s="430">
        <f t="shared" si="55"/>
        <v>0</v>
      </c>
      <c r="AD391" s="430">
        <f t="shared" si="55"/>
        <v>0</v>
      </c>
      <c r="AE391" s="432">
        <f t="shared" si="55"/>
        <v>0</v>
      </c>
      <c r="AF391" s="433">
        <f t="shared" si="55"/>
        <v>0</v>
      </c>
      <c r="AG391" s="434">
        <f t="shared" si="55"/>
        <v>0</v>
      </c>
      <c r="AH391" s="434">
        <f t="shared" si="55"/>
        <v>3.621474338407514E-2</v>
      </c>
    </row>
    <row r="392" spans="1:34" ht="33" customHeight="1" x14ac:dyDescent="0.35">
      <c r="A392" s="413" t="s">
        <v>736</v>
      </c>
      <c r="B392" s="260" t="s">
        <v>215</v>
      </c>
      <c r="C392" s="259" t="s">
        <v>873</v>
      </c>
      <c r="D392" s="260" t="s">
        <v>926</v>
      </c>
      <c r="E392" s="260" t="s">
        <v>874</v>
      </c>
      <c r="F392" s="414"/>
      <c r="G392" s="429">
        <v>0</v>
      </c>
      <c r="H392" s="430">
        <v>0</v>
      </c>
      <c r="I392" s="431">
        <v>0</v>
      </c>
      <c r="J392" s="432">
        <v>0.05</v>
      </c>
      <c r="K392" s="433">
        <v>2.7027027027026945E-2</v>
      </c>
      <c r="L392" s="434">
        <v>9.0909090909090939E-2</v>
      </c>
      <c r="M392" s="435">
        <v>91.695690355594778</v>
      </c>
      <c r="N392" s="420">
        <v>-91.695690355594778</v>
      </c>
      <c r="T392" s="415">
        <f t="shared" si="56"/>
        <v>0</v>
      </c>
      <c r="U392" s="416">
        <f t="shared" si="57"/>
        <v>0</v>
      </c>
      <c r="V392" s="416">
        <f t="shared" si="58"/>
        <v>0</v>
      </c>
      <c r="W392" s="417">
        <f t="shared" si="59"/>
        <v>-0.10000000000000006</v>
      </c>
      <c r="X392" s="418">
        <f t="shared" si="60"/>
        <v>-0.21621621621621631</v>
      </c>
      <c r="Y392" s="419">
        <f t="shared" si="61"/>
        <v>-0.21212121212121207</v>
      </c>
      <c r="Z392" s="419">
        <f t="shared" si="62"/>
        <v>-1.9717375553342447E-2</v>
      </c>
      <c r="AB392" s="429">
        <f t="shared" si="55"/>
        <v>0</v>
      </c>
      <c r="AC392" s="430">
        <f t="shared" si="55"/>
        <v>0</v>
      </c>
      <c r="AD392" s="430">
        <f t="shared" si="55"/>
        <v>0</v>
      </c>
      <c r="AE392" s="432">
        <f t="shared" si="55"/>
        <v>0</v>
      </c>
      <c r="AF392" s="433">
        <f t="shared" si="55"/>
        <v>0</v>
      </c>
      <c r="AG392" s="434">
        <f t="shared" si="55"/>
        <v>0</v>
      </c>
      <c r="AH392" s="434">
        <f t="shared" si="55"/>
        <v>0</v>
      </c>
    </row>
    <row r="393" spans="1:34" ht="33" customHeight="1" x14ac:dyDescent="0.35">
      <c r="A393" s="413" t="s">
        <v>736</v>
      </c>
      <c r="B393" s="260" t="s">
        <v>218</v>
      </c>
      <c r="C393" s="259" t="s">
        <v>875</v>
      </c>
      <c r="D393" s="260" t="s">
        <v>919</v>
      </c>
      <c r="E393" s="260" t="s">
        <v>876</v>
      </c>
      <c r="F393" s="414"/>
      <c r="G393" s="429">
        <v>0</v>
      </c>
      <c r="H393" s="430">
        <v>0</v>
      </c>
      <c r="I393" s="431">
        <v>0</v>
      </c>
      <c r="J393" s="452">
        <v>0</v>
      </c>
      <c r="K393" s="453">
        <v>0</v>
      </c>
      <c r="L393" s="454">
        <v>0.11111111111111115</v>
      </c>
      <c r="M393" s="455">
        <v>90.742192510023131</v>
      </c>
      <c r="N393" s="420">
        <v>-90.742192510023131</v>
      </c>
      <c r="T393" s="415">
        <f t="shared" si="56"/>
        <v>0</v>
      </c>
      <c r="U393" s="416">
        <f t="shared" si="57"/>
        <v>0</v>
      </c>
      <c r="V393" s="416">
        <f t="shared" si="58"/>
        <v>0</v>
      </c>
      <c r="W393" s="417">
        <f t="shared" si="59"/>
        <v>-0.15789473684210534</v>
      </c>
      <c r="X393" s="418">
        <f t="shared" si="60"/>
        <v>-0.25</v>
      </c>
      <c r="Y393" s="419">
        <f t="shared" si="61"/>
        <v>-0.18518518518518512</v>
      </c>
      <c r="Z393" s="419">
        <f t="shared" si="62"/>
        <v>-1.0858845978886278E-2</v>
      </c>
      <c r="AB393" s="429">
        <f t="shared" si="55"/>
        <v>0</v>
      </c>
      <c r="AC393" s="430">
        <f t="shared" si="55"/>
        <v>0</v>
      </c>
      <c r="AD393" s="430">
        <f t="shared" si="55"/>
        <v>0</v>
      </c>
      <c r="AE393" s="432">
        <f t="shared" si="55"/>
        <v>0</v>
      </c>
      <c r="AF393" s="433">
        <f t="shared" si="55"/>
        <v>0</v>
      </c>
      <c r="AG393" s="434">
        <f t="shared" si="55"/>
        <v>0</v>
      </c>
      <c r="AH393" s="434">
        <f t="shared" si="55"/>
        <v>0</v>
      </c>
    </row>
    <row r="394" spans="1:34" ht="33" customHeight="1" x14ac:dyDescent="0.35">
      <c r="A394" s="413" t="s">
        <v>736</v>
      </c>
      <c r="B394" s="260" t="s">
        <v>221</v>
      </c>
      <c r="C394" s="259" t="s">
        <v>877</v>
      </c>
      <c r="D394" s="260" t="s">
        <v>920</v>
      </c>
      <c r="E394" s="260" t="s">
        <v>878</v>
      </c>
      <c r="F394" s="414"/>
      <c r="G394" s="429">
        <v>0</v>
      </c>
      <c r="H394" s="430">
        <v>0</v>
      </c>
      <c r="I394" s="431">
        <v>0</v>
      </c>
      <c r="J394" s="432">
        <v>0.1</v>
      </c>
      <c r="K394" s="433">
        <v>2.7027027027026945E-2</v>
      </c>
      <c r="L394" s="434">
        <v>3.0303030303030311E-2</v>
      </c>
      <c r="M394" s="435">
        <v>89.68973051105425</v>
      </c>
      <c r="N394" s="420">
        <v>-89.68973051105425</v>
      </c>
      <c r="T394" s="415">
        <f t="shared" si="56"/>
        <v>0</v>
      </c>
      <c r="U394" s="416">
        <f t="shared" si="57"/>
        <v>0</v>
      </c>
      <c r="V394" s="416">
        <f t="shared" si="58"/>
        <v>0</v>
      </c>
      <c r="W394" s="417">
        <f t="shared" si="59"/>
        <v>-4.2105263157894784E-2</v>
      </c>
      <c r="X394" s="418">
        <f t="shared" si="60"/>
        <v>-0.21621621621621631</v>
      </c>
      <c r="Y394" s="419">
        <f t="shared" si="61"/>
        <v>-0.29292929292929293</v>
      </c>
      <c r="Z394" s="419">
        <f t="shared" si="62"/>
        <v>-1.0808839340244571E-3</v>
      </c>
      <c r="AB394" s="429">
        <f t="shared" si="55"/>
        <v>0</v>
      </c>
      <c r="AC394" s="430">
        <f t="shared" si="55"/>
        <v>0</v>
      </c>
      <c r="AD394" s="430">
        <f t="shared" si="55"/>
        <v>0</v>
      </c>
      <c r="AE394" s="432">
        <f t="shared" si="55"/>
        <v>0</v>
      </c>
      <c r="AF394" s="433">
        <f t="shared" si="55"/>
        <v>0</v>
      </c>
      <c r="AG394" s="434">
        <f t="shared" si="55"/>
        <v>0</v>
      </c>
      <c r="AH394" s="434">
        <f t="shared" si="55"/>
        <v>0</v>
      </c>
    </row>
    <row r="395" spans="1:34" ht="33" customHeight="1" x14ac:dyDescent="0.35">
      <c r="A395" s="413" t="s">
        <v>736</v>
      </c>
      <c r="B395" s="260" t="s">
        <v>224</v>
      </c>
      <c r="C395" s="259" t="s">
        <v>879</v>
      </c>
      <c r="D395" s="461" t="s">
        <v>993</v>
      </c>
      <c r="E395" s="260" t="s">
        <v>880</v>
      </c>
      <c r="F395" s="414" t="s">
        <v>957</v>
      </c>
      <c r="G395" s="429">
        <v>0</v>
      </c>
      <c r="H395" s="430">
        <v>0</v>
      </c>
      <c r="I395" s="431">
        <v>0</v>
      </c>
      <c r="J395" s="452">
        <v>0</v>
      </c>
      <c r="K395" s="453">
        <v>6.25E-2</v>
      </c>
      <c r="L395" s="454">
        <v>0</v>
      </c>
      <c r="M395" s="455">
        <v>93.800807555814288</v>
      </c>
      <c r="N395" s="420">
        <v>-93.800807555814288</v>
      </c>
      <c r="T395" s="415">
        <f t="shared" si="56"/>
        <v>0</v>
      </c>
      <c r="U395" s="416">
        <f t="shared" si="57"/>
        <v>0</v>
      </c>
      <c r="V395" s="416">
        <f t="shared" si="58"/>
        <v>0</v>
      </c>
      <c r="W395" s="417">
        <f t="shared" si="59"/>
        <v>-0.15789473684210534</v>
      </c>
      <c r="X395" s="418">
        <f t="shared" si="60"/>
        <v>-0.171875</v>
      </c>
      <c r="Y395" s="419">
        <f t="shared" si="61"/>
        <v>-0.33333333333333331</v>
      </c>
      <c r="Z395" s="419">
        <f t="shared" si="62"/>
        <v>-3.9275094600584537E-2</v>
      </c>
      <c r="AB395" s="429">
        <f t="shared" si="55"/>
        <v>0</v>
      </c>
      <c r="AC395" s="430">
        <f t="shared" si="55"/>
        <v>0</v>
      </c>
      <c r="AD395" s="430">
        <f t="shared" si="55"/>
        <v>0</v>
      </c>
      <c r="AE395" s="432">
        <f t="shared" si="55"/>
        <v>0</v>
      </c>
      <c r="AF395" s="433">
        <f t="shared" si="55"/>
        <v>0</v>
      </c>
      <c r="AG395" s="434">
        <f t="shared" si="55"/>
        <v>0</v>
      </c>
      <c r="AH395" s="434">
        <f t="shared" si="55"/>
        <v>0</v>
      </c>
    </row>
    <row r="396" spans="1:34" ht="33" customHeight="1" x14ac:dyDescent="0.35">
      <c r="A396" s="413" t="s">
        <v>736</v>
      </c>
      <c r="B396" s="260" t="s">
        <v>227</v>
      </c>
      <c r="C396" s="259" t="s">
        <v>881</v>
      </c>
      <c r="D396" s="260" t="s">
        <v>916</v>
      </c>
      <c r="E396" s="260" t="s">
        <v>882</v>
      </c>
      <c r="F396" s="414"/>
      <c r="G396" s="429">
        <v>3</v>
      </c>
      <c r="H396" s="430">
        <v>4</v>
      </c>
      <c r="I396" s="431">
        <v>4</v>
      </c>
      <c r="J396" s="452">
        <v>0</v>
      </c>
      <c r="K396" s="453">
        <v>0</v>
      </c>
      <c r="L396" s="454">
        <v>0.11111111111111115</v>
      </c>
      <c r="M396" s="455">
        <v>95.723393184923282</v>
      </c>
      <c r="N396" s="420">
        <v>-95.723393184923282</v>
      </c>
      <c r="T396" s="415">
        <f t="shared" si="56"/>
        <v>0.75</v>
      </c>
      <c r="U396" s="416">
        <f t="shared" si="57"/>
        <v>1</v>
      </c>
      <c r="V396" s="416">
        <f t="shared" si="58"/>
        <v>1</v>
      </c>
      <c r="W396" s="417">
        <f t="shared" si="59"/>
        <v>-0.15789473684210534</v>
      </c>
      <c r="X396" s="418">
        <f t="shared" si="60"/>
        <v>-0.25</v>
      </c>
      <c r="Y396" s="419">
        <f t="shared" si="61"/>
        <v>-0.18518518518518512</v>
      </c>
      <c r="Z396" s="419">
        <f t="shared" si="62"/>
        <v>-5.7136993013869097E-2</v>
      </c>
      <c r="AB396" s="429">
        <f t="shared" si="55"/>
        <v>0.75</v>
      </c>
      <c r="AC396" s="430">
        <f t="shared" si="55"/>
        <v>1</v>
      </c>
      <c r="AD396" s="430">
        <f t="shared" si="55"/>
        <v>1</v>
      </c>
      <c r="AE396" s="432">
        <f t="shared" si="55"/>
        <v>0</v>
      </c>
      <c r="AF396" s="433">
        <f t="shared" si="55"/>
        <v>0</v>
      </c>
      <c r="AG396" s="434">
        <f t="shared" si="55"/>
        <v>0</v>
      </c>
      <c r="AH396" s="434">
        <f t="shared" si="55"/>
        <v>0</v>
      </c>
    </row>
    <row r="397" spans="1:34" ht="33" customHeight="1" x14ac:dyDescent="0.35">
      <c r="A397" s="413" t="s">
        <v>736</v>
      </c>
      <c r="B397" s="260" t="s">
        <v>230</v>
      </c>
      <c r="C397" s="259" t="s">
        <v>883</v>
      </c>
      <c r="D397" s="461" t="s">
        <v>993</v>
      </c>
      <c r="E397" s="260" t="s">
        <v>884</v>
      </c>
      <c r="F397" s="414" t="s">
        <v>924</v>
      </c>
      <c r="G397" s="429">
        <v>4</v>
      </c>
      <c r="H397" s="430">
        <v>4</v>
      </c>
      <c r="I397" s="431">
        <v>4</v>
      </c>
      <c r="J397" s="432">
        <v>1</v>
      </c>
      <c r="K397" s="433">
        <v>1</v>
      </c>
      <c r="L397" s="434">
        <v>1</v>
      </c>
      <c r="M397" s="463">
        <v>203.0127814972611</v>
      </c>
      <c r="N397" s="420">
        <v>-203.0127814972611</v>
      </c>
      <c r="T397" s="415">
        <f t="shared" si="56"/>
        <v>1</v>
      </c>
      <c r="U397" s="416">
        <f t="shared" si="57"/>
        <v>1</v>
      </c>
      <c r="V397" s="416">
        <f t="shared" si="58"/>
        <v>1</v>
      </c>
      <c r="W397" s="417">
        <f t="shared" si="59"/>
        <v>1</v>
      </c>
      <c r="X397" s="418">
        <f t="shared" si="60"/>
        <v>1</v>
      </c>
      <c r="Y397" s="419">
        <f t="shared" si="61"/>
        <v>1</v>
      </c>
      <c r="Z397" s="419">
        <f t="shared" si="62"/>
        <v>-1.0539155634157258</v>
      </c>
      <c r="AB397" s="429">
        <f t="shared" si="55"/>
        <v>1</v>
      </c>
      <c r="AC397" s="430">
        <f t="shared" si="55"/>
        <v>1</v>
      </c>
      <c r="AD397" s="430">
        <f t="shared" si="55"/>
        <v>1</v>
      </c>
      <c r="AE397" s="432">
        <f t="shared" si="55"/>
        <v>1</v>
      </c>
      <c r="AF397" s="433">
        <f t="shared" si="55"/>
        <v>1</v>
      </c>
      <c r="AG397" s="434">
        <f t="shared" si="55"/>
        <v>1</v>
      </c>
      <c r="AH397" s="434">
        <f t="shared" si="55"/>
        <v>0</v>
      </c>
    </row>
    <row r="398" spans="1:34" ht="33" customHeight="1" x14ac:dyDescent="0.35">
      <c r="A398" s="413" t="s">
        <v>736</v>
      </c>
      <c r="B398" s="260" t="s">
        <v>233</v>
      </c>
      <c r="C398" s="259" t="s">
        <v>885</v>
      </c>
      <c r="D398" s="461" t="s">
        <v>993</v>
      </c>
      <c r="E398" s="260" t="s">
        <v>886</v>
      </c>
      <c r="F398" s="414" t="s">
        <v>951</v>
      </c>
      <c r="G398" s="429">
        <v>0</v>
      </c>
      <c r="H398" s="430">
        <v>0</v>
      </c>
      <c r="I398" s="431">
        <v>0</v>
      </c>
      <c r="J398" s="432">
        <v>0.05</v>
      </c>
      <c r="K398" s="433">
        <v>0.24324324324324323</v>
      </c>
      <c r="L398" s="434">
        <v>0.27272727272727265</v>
      </c>
      <c r="M398" s="435">
        <v>126.64669648620043</v>
      </c>
      <c r="N398" s="420">
        <v>-126.64669648620043</v>
      </c>
      <c r="T398" s="415">
        <f t="shared" si="56"/>
        <v>0</v>
      </c>
      <c r="U398" s="416">
        <f t="shared" si="57"/>
        <v>0</v>
      </c>
      <c r="V398" s="416">
        <f t="shared" si="58"/>
        <v>0</v>
      </c>
      <c r="W398" s="417">
        <f t="shared" si="59"/>
        <v>-0.10000000000000006</v>
      </c>
      <c r="X398" s="418">
        <f t="shared" si="60"/>
        <v>5.4054054054054022E-2</v>
      </c>
      <c r="Y398" s="419">
        <f t="shared" si="61"/>
        <v>3.0303030303030203E-2</v>
      </c>
      <c r="Z398" s="419">
        <f t="shared" si="62"/>
        <v>-0.34443181817418234</v>
      </c>
      <c r="AB398" s="429">
        <f t="shared" si="55"/>
        <v>0</v>
      </c>
      <c r="AC398" s="430">
        <f t="shared" si="55"/>
        <v>0</v>
      </c>
      <c r="AD398" s="430">
        <f t="shared" si="55"/>
        <v>0</v>
      </c>
      <c r="AE398" s="432">
        <f t="shared" si="55"/>
        <v>0</v>
      </c>
      <c r="AF398" s="433">
        <f t="shared" si="55"/>
        <v>5.4054054054054022E-2</v>
      </c>
      <c r="AG398" s="434">
        <f t="shared" si="55"/>
        <v>3.0303030303030203E-2</v>
      </c>
      <c r="AH398" s="434">
        <f t="shared" si="55"/>
        <v>0</v>
      </c>
    </row>
    <row r="399" spans="1:34" ht="33" customHeight="1" x14ac:dyDescent="0.35">
      <c r="A399" s="413" t="s">
        <v>736</v>
      </c>
      <c r="B399" s="260" t="s">
        <v>236</v>
      </c>
      <c r="C399" s="259" t="s">
        <v>887</v>
      </c>
      <c r="D399" s="260" t="s">
        <v>919</v>
      </c>
      <c r="E399" s="260" t="s">
        <v>888</v>
      </c>
      <c r="F399" s="414"/>
      <c r="G399" s="429">
        <v>4</v>
      </c>
      <c r="H399" s="430">
        <v>4</v>
      </c>
      <c r="I399" s="431">
        <v>4</v>
      </c>
      <c r="J399" s="432">
        <v>0.3</v>
      </c>
      <c r="K399" s="433">
        <v>0.6216216216216216</v>
      </c>
      <c r="L399" s="434">
        <v>0.87878787878787878</v>
      </c>
      <c r="M399" s="463">
        <v>55.903834449178341</v>
      </c>
      <c r="N399" s="420">
        <v>-55.903834449178341</v>
      </c>
      <c r="T399" s="415">
        <f t="shared" si="56"/>
        <v>1</v>
      </c>
      <c r="U399" s="416">
        <f t="shared" si="57"/>
        <v>1</v>
      </c>
      <c r="V399" s="416">
        <f t="shared" si="58"/>
        <v>1</v>
      </c>
      <c r="W399" s="417">
        <f t="shared" si="59"/>
        <v>0.18947368421052627</v>
      </c>
      <c r="X399" s="418">
        <f t="shared" si="60"/>
        <v>0.52702702702702697</v>
      </c>
      <c r="Y399" s="419">
        <f t="shared" si="61"/>
        <v>0.83838383838383834</v>
      </c>
      <c r="Z399" s="419">
        <f t="shared" si="62"/>
        <v>0.31280903291649104</v>
      </c>
      <c r="AB399" s="429">
        <f t="shared" si="55"/>
        <v>1</v>
      </c>
      <c r="AC399" s="430">
        <f t="shared" si="55"/>
        <v>1</v>
      </c>
      <c r="AD399" s="430">
        <f t="shared" si="55"/>
        <v>1</v>
      </c>
      <c r="AE399" s="432">
        <f t="shared" si="55"/>
        <v>0.18947368421052627</v>
      </c>
      <c r="AF399" s="433">
        <f t="shared" si="55"/>
        <v>0.52702702702702697</v>
      </c>
      <c r="AG399" s="434">
        <f t="shared" si="55"/>
        <v>0.83838383838383834</v>
      </c>
      <c r="AH399" s="434">
        <f t="shared" si="55"/>
        <v>0.31280903291649104</v>
      </c>
    </row>
    <row r="400" spans="1:34" ht="33" customHeight="1" x14ac:dyDescent="0.35">
      <c r="A400" s="413" t="s">
        <v>736</v>
      </c>
      <c r="B400" s="260" t="s">
        <v>239</v>
      </c>
      <c r="C400" s="259" t="s">
        <v>889</v>
      </c>
      <c r="D400" s="260" t="s">
        <v>916</v>
      </c>
      <c r="E400" s="260" t="s">
        <v>890</v>
      </c>
      <c r="F400" s="414"/>
      <c r="G400" s="429">
        <v>0</v>
      </c>
      <c r="H400" s="430">
        <v>0</v>
      </c>
      <c r="I400" s="431">
        <v>0</v>
      </c>
      <c r="J400" s="432">
        <v>0.15</v>
      </c>
      <c r="K400" s="433">
        <v>0.24324324324324323</v>
      </c>
      <c r="L400" s="434">
        <v>0.5757575757575758</v>
      </c>
      <c r="M400" s="435">
        <v>93.141125795640477</v>
      </c>
      <c r="N400" s="420">
        <v>-93.141125795640477</v>
      </c>
      <c r="T400" s="415">
        <f t="shared" si="56"/>
        <v>0</v>
      </c>
      <c r="U400" s="416">
        <f t="shared" si="57"/>
        <v>0</v>
      </c>
      <c r="V400" s="416">
        <f t="shared" si="58"/>
        <v>0</v>
      </c>
      <c r="W400" s="417">
        <f t="shared" si="59"/>
        <v>1.5789473684210468E-2</v>
      </c>
      <c r="X400" s="418">
        <f t="shared" si="60"/>
        <v>5.4054054054054022E-2</v>
      </c>
      <c r="Y400" s="419">
        <f t="shared" si="61"/>
        <v>0.43434343434343442</v>
      </c>
      <c r="Z400" s="419">
        <f t="shared" si="62"/>
        <v>-3.3146281190706839E-2</v>
      </c>
      <c r="AB400" s="429">
        <f t="shared" si="55"/>
        <v>0</v>
      </c>
      <c r="AC400" s="430">
        <f t="shared" si="55"/>
        <v>0</v>
      </c>
      <c r="AD400" s="430">
        <f t="shared" si="55"/>
        <v>0</v>
      </c>
      <c r="AE400" s="432">
        <f t="shared" si="55"/>
        <v>1.5789473684210468E-2</v>
      </c>
      <c r="AF400" s="433">
        <f t="shared" si="55"/>
        <v>5.4054054054054022E-2</v>
      </c>
      <c r="AG400" s="434">
        <f t="shared" si="55"/>
        <v>0.43434343434343442</v>
      </c>
      <c r="AH400" s="434">
        <f t="shared" si="55"/>
        <v>0</v>
      </c>
    </row>
    <row r="401" spans="1:34" ht="33" customHeight="1" x14ac:dyDescent="0.35">
      <c r="A401" s="413" t="s">
        <v>736</v>
      </c>
      <c r="B401" s="260" t="s">
        <v>242</v>
      </c>
      <c r="C401" s="259" t="s">
        <v>891</v>
      </c>
      <c r="D401" s="260" t="s">
        <v>919</v>
      </c>
      <c r="E401" s="260" t="s">
        <v>892</v>
      </c>
      <c r="F401" s="414"/>
      <c r="G401" s="429">
        <v>0</v>
      </c>
      <c r="H401" s="430">
        <v>0</v>
      </c>
      <c r="I401" s="431">
        <v>0</v>
      </c>
      <c r="J401" s="432">
        <v>0.05</v>
      </c>
      <c r="K401" s="433">
        <v>8.1081081081080975E-2</v>
      </c>
      <c r="L401" s="434">
        <v>9.0909090909090939E-2</v>
      </c>
      <c r="M401" s="435">
        <v>94.148452769250014</v>
      </c>
      <c r="N401" s="420">
        <v>-94.148452769250014</v>
      </c>
      <c r="T401" s="415">
        <f t="shared" si="56"/>
        <v>0</v>
      </c>
      <c r="U401" s="416">
        <f t="shared" si="57"/>
        <v>0</v>
      </c>
      <c r="V401" s="416">
        <f t="shared" si="58"/>
        <v>0</v>
      </c>
      <c r="W401" s="417">
        <f t="shared" si="59"/>
        <v>-0.10000000000000006</v>
      </c>
      <c r="X401" s="418">
        <f t="shared" si="60"/>
        <v>-0.1486486486486488</v>
      </c>
      <c r="Y401" s="419">
        <f t="shared" si="61"/>
        <v>-0.21212121212121207</v>
      </c>
      <c r="Z401" s="419">
        <f t="shared" si="62"/>
        <v>-4.2504913544530017E-2</v>
      </c>
      <c r="AB401" s="429">
        <f t="shared" si="55"/>
        <v>0</v>
      </c>
      <c r="AC401" s="430">
        <f t="shared" si="55"/>
        <v>0</v>
      </c>
      <c r="AD401" s="430">
        <f t="shared" si="55"/>
        <v>0</v>
      </c>
      <c r="AE401" s="432">
        <f t="shared" si="55"/>
        <v>0</v>
      </c>
      <c r="AF401" s="433">
        <f t="shared" si="55"/>
        <v>0</v>
      </c>
      <c r="AG401" s="434">
        <f t="shared" si="55"/>
        <v>0</v>
      </c>
      <c r="AH401" s="434">
        <f t="shared" si="55"/>
        <v>0</v>
      </c>
    </row>
    <row r="402" spans="1:34" ht="33" customHeight="1" x14ac:dyDescent="0.35">
      <c r="A402" s="413" t="s">
        <v>736</v>
      </c>
      <c r="B402" s="260" t="s">
        <v>245</v>
      </c>
      <c r="C402" s="259" t="s">
        <v>893</v>
      </c>
      <c r="D402" s="260" t="s">
        <v>919</v>
      </c>
      <c r="E402" s="260" t="s">
        <v>894</v>
      </c>
      <c r="F402" s="414"/>
      <c r="G402" s="429">
        <v>1</v>
      </c>
      <c r="H402" s="430">
        <v>0</v>
      </c>
      <c r="I402" s="431">
        <v>0</v>
      </c>
      <c r="J402" s="432">
        <v>0.15</v>
      </c>
      <c r="K402" s="433">
        <v>0.40540540540540543</v>
      </c>
      <c r="L402" s="434">
        <v>0.63636363636363635</v>
      </c>
      <c r="M402" s="435">
        <v>107.79537024913731</v>
      </c>
      <c r="N402" s="420">
        <v>-107.79537024913731</v>
      </c>
      <c r="T402" s="415">
        <f t="shared" si="56"/>
        <v>0.25</v>
      </c>
      <c r="U402" s="416">
        <f t="shared" si="57"/>
        <v>0</v>
      </c>
      <c r="V402" s="416">
        <f t="shared" si="58"/>
        <v>0</v>
      </c>
      <c r="W402" s="417">
        <f t="shared" si="59"/>
        <v>1.5789473684210468E-2</v>
      </c>
      <c r="X402" s="418">
        <f t="shared" si="60"/>
        <v>0.25675675675675674</v>
      </c>
      <c r="Y402" s="419">
        <f t="shared" si="61"/>
        <v>0.51515151515151514</v>
      </c>
      <c r="Z402" s="419">
        <f t="shared" si="62"/>
        <v>-0.16929242822765625</v>
      </c>
      <c r="AB402" s="429">
        <f t="shared" si="55"/>
        <v>0.25</v>
      </c>
      <c r="AC402" s="430">
        <f t="shared" si="55"/>
        <v>0</v>
      </c>
      <c r="AD402" s="430">
        <f t="shared" si="55"/>
        <v>0</v>
      </c>
      <c r="AE402" s="432">
        <f t="shared" si="55"/>
        <v>1.5789473684210468E-2</v>
      </c>
      <c r="AF402" s="433">
        <f t="shared" si="55"/>
        <v>0.25675675675675674</v>
      </c>
      <c r="AG402" s="434">
        <f t="shared" si="55"/>
        <v>0.51515151515151514</v>
      </c>
      <c r="AH402" s="434">
        <f t="shared" si="55"/>
        <v>0</v>
      </c>
    </row>
    <row r="403" spans="1:34" ht="33" customHeight="1" x14ac:dyDescent="0.35">
      <c r="A403" s="456" t="s">
        <v>736</v>
      </c>
      <c r="B403" s="457" t="s">
        <v>248</v>
      </c>
      <c r="C403" s="458" t="s">
        <v>895</v>
      </c>
      <c r="D403" s="457" t="s">
        <v>916</v>
      </c>
      <c r="E403" s="457" t="s">
        <v>896</v>
      </c>
      <c r="F403" s="459"/>
      <c r="G403" s="471">
        <v>0</v>
      </c>
      <c r="H403" s="472">
        <v>1</v>
      </c>
      <c r="I403" s="480">
        <v>1</v>
      </c>
      <c r="J403" s="483">
        <v>1</v>
      </c>
      <c r="K403" s="484">
        <v>1</v>
      </c>
      <c r="L403" s="485">
        <v>1</v>
      </c>
      <c r="M403" s="486">
        <v>79.862897716185543</v>
      </c>
      <c r="N403" s="460">
        <v>-79.862897716185543</v>
      </c>
      <c r="T403" s="449">
        <f t="shared" si="56"/>
        <v>0</v>
      </c>
      <c r="U403" s="450">
        <f t="shared" si="57"/>
        <v>0.25</v>
      </c>
      <c r="V403" s="450">
        <f t="shared" si="58"/>
        <v>0.25</v>
      </c>
      <c r="W403" s="467">
        <f t="shared" si="59"/>
        <v>1</v>
      </c>
      <c r="X403" s="468">
        <f t="shared" si="60"/>
        <v>1</v>
      </c>
      <c r="Y403" s="469">
        <f t="shared" si="61"/>
        <v>1</v>
      </c>
      <c r="Z403" s="469">
        <f t="shared" si="62"/>
        <v>9.0215902252619398E-2</v>
      </c>
      <c r="AB403" s="471">
        <f t="shared" si="55"/>
        <v>0</v>
      </c>
      <c r="AC403" s="472">
        <f t="shared" si="55"/>
        <v>0.25</v>
      </c>
      <c r="AD403" s="472">
        <f t="shared" si="55"/>
        <v>0.25</v>
      </c>
      <c r="AE403" s="473">
        <f t="shared" si="55"/>
        <v>1</v>
      </c>
      <c r="AF403" s="474">
        <f t="shared" si="55"/>
        <v>1</v>
      </c>
      <c r="AG403" s="475">
        <f t="shared" si="55"/>
        <v>1</v>
      </c>
      <c r="AH403" s="475">
        <f t="shared" si="55"/>
        <v>9.0215902252619398E-2</v>
      </c>
    </row>
    <row r="404" spans="1:34" ht="33" customHeight="1" x14ac:dyDescent="0.35">
      <c r="A404" s="260"/>
      <c r="B404" s="260"/>
      <c r="C404" s="260"/>
      <c r="D404" s="260"/>
      <c r="E404" s="260"/>
      <c r="F404" s="461"/>
      <c r="G404" s="416"/>
      <c r="H404" s="416"/>
      <c r="I404" s="416" t="s">
        <v>1942</v>
      </c>
      <c r="J404" s="418">
        <f>MIN(J4:J403)</f>
        <v>0</v>
      </c>
      <c r="K404" s="418">
        <f t="shared" ref="K404:L404" si="63">MIN(K4:K403)</f>
        <v>0</v>
      </c>
      <c r="L404" s="418">
        <f t="shared" si="63"/>
        <v>0</v>
      </c>
      <c r="M404" s="464" t="s">
        <v>1940</v>
      </c>
    </row>
    <row r="405" spans="1:34" ht="33" customHeight="1" x14ac:dyDescent="0.35">
      <c r="A405" s="260"/>
      <c r="B405" s="260"/>
      <c r="C405" s="260"/>
      <c r="D405" s="260"/>
      <c r="E405" s="260"/>
      <c r="F405" s="461"/>
      <c r="G405" s="416"/>
      <c r="H405" s="416"/>
      <c r="I405" s="416"/>
      <c r="J405" s="416"/>
      <c r="K405" s="416"/>
      <c r="L405" s="416"/>
      <c r="M405" s="404"/>
    </row>
    <row r="406" spans="1:34" ht="33" customHeight="1" x14ac:dyDescent="0.35">
      <c r="A406" s="260"/>
      <c r="B406" s="260"/>
      <c r="C406" s="260"/>
      <c r="D406" s="260"/>
      <c r="E406" s="260"/>
      <c r="F406" s="461"/>
      <c r="G406" s="416"/>
      <c r="H406" s="416"/>
      <c r="I406" s="416"/>
      <c r="J406" s="416"/>
      <c r="K406" s="416"/>
      <c r="L406" s="416"/>
      <c r="M406" s="404"/>
    </row>
    <row r="407" spans="1:34" ht="33" customHeight="1" x14ac:dyDescent="0.35">
      <c r="A407" s="260"/>
      <c r="B407" s="260"/>
      <c r="C407" s="260"/>
      <c r="D407" s="260"/>
      <c r="E407" s="260"/>
      <c r="F407" s="461"/>
      <c r="G407" s="416"/>
      <c r="H407" s="416"/>
      <c r="I407" s="416"/>
      <c r="J407" s="416"/>
      <c r="K407" s="416"/>
      <c r="L407" s="416"/>
      <c r="M407" s="404"/>
    </row>
    <row r="408" spans="1:34" ht="33" customHeight="1" x14ac:dyDescent="0.35">
      <c r="A408" s="260"/>
      <c r="B408" s="260"/>
      <c r="C408" s="260"/>
      <c r="D408" s="260"/>
      <c r="E408" s="260"/>
      <c r="F408" s="461"/>
      <c r="G408" s="416"/>
      <c r="H408" s="416"/>
      <c r="I408" s="416"/>
      <c r="J408" s="416"/>
      <c r="K408" s="416"/>
      <c r="L408" s="416"/>
      <c r="M408" s="404"/>
    </row>
    <row r="409" spans="1:34" ht="33" customHeight="1" x14ac:dyDescent="0.35">
      <c r="M409" s="404"/>
    </row>
    <row r="410" spans="1:34" ht="33" customHeight="1" x14ac:dyDescent="0.35">
      <c r="M410" s="404"/>
    </row>
    <row r="411" spans="1:34" ht="33" customHeight="1" x14ac:dyDescent="0.35">
      <c r="M411" s="403"/>
    </row>
  </sheetData>
  <mergeCells count="9">
    <mergeCell ref="AB1:AH1"/>
    <mergeCell ref="A1:M1"/>
    <mergeCell ref="T1:Z1"/>
    <mergeCell ref="AE2:AG2"/>
    <mergeCell ref="G2:I2"/>
    <mergeCell ref="J2:L2"/>
    <mergeCell ref="T2:V2"/>
    <mergeCell ref="W2:Y2"/>
    <mergeCell ref="AB2:AD2"/>
  </mergeCells>
  <conditionalFormatting sqref="G406:I1048576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04:I405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04:I1048576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:L403 J4:K4">
    <cfRule type="cellIs" dxfId="24" priority="28" operator="between">
      <formula>0.5</formula>
      <formula>1</formula>
    </cfRule>
    <cfRule type="cellIs" dxfId="23" priority="29" operator="between">
      <formula>-1</formula>
      <formula>0.499999</formula>
    </cfRule>
  </conditionalFormatting>
  <conditionalFormatting sqref="M3">
    <cfRule type="cellIs" dxfId="22" priority="26" operator="lessThan">
      <formula>51</formula>
    </cfRule>
    <cfRule type="cellIs" dxfId="21" priority="27" operator="greaterThanOrEqual">
      <formula>51</formula>
    </cfRule>
  </conditionalFormatting>
  <conditionalFormatting sqref="G4:I403">
    <cfRule type="colorScale" priority="25">
      <colorScale>
        <cfvo type="num" val="0"/>
        <cfvo type="num" val="1"/>
        <cfvo type="num" val="4"/>
        <color rgb="FF63BE7B"/>
        <color rgb="FFFFEB84"/>
        <color rgb="FFF8696B"/>
      </colorScale>
    </cfRule>
  </conditionalFormatting>
  <conditionalFormatting sqref="G2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2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">
    <cfRule type="cellIs" dxfId="20" priority="20" operator="between">
      <formula>0.5</formula>
      <formula>1</formula>
    </cfRule>
    <cfRule type="cellIs" dxfId="19" priority="21" operator="between">
      <formula>-1</formula>
      <formula>0.499999</formula>
    </cfRule>
  </conditionalFormatting>
  <conditionalFormatting sqref="M3">
    <cfRule type="cellIs" dxfId="18" priority="18" operator="lessThan">
      <formula>51</formula>
    </cfRule>
    <cfRule type="cellIs" dxfId="17" priority="19" operator="lessThan">
      <formula>51</formula>
    </cfRule>
  </conditionalFormatting>
  <conditionalFormatting sqref="T2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2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2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2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4:AH403">
    <cfRule type="colorScale" priority="7">
      <colorScale>
        <cfvo type="num" val="0"/>
        <cfvo type="num" val="0.5"/>
        <cfvo type="num" val="1"/>
        <color rgb="FF63BE7B"/>
        <color rgb="FFFFEB84"/>
        <color rgb="FFF8696B"/>
      </colorScale>
    </cfRule>
  </conditionalFormatting>
  <conditionalFormatting sqref="T4:Z403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9:M402 M4:M87">
    <cfRule type="cellIs" dxfId="16" priority="4" operator="lessThan">
      <formula>51</formula>
    </cfRule>
    <cfRule type="cellIs" dxfId="15" priority="5" operator="greaterThanOrEqual">
      <formula>51</formula>
    </cfRule>
  </conditionalFormatting>
  <conditionalFormatting sqref="M8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:M402">
    <cfRule type="cellIs" dxfId="14" priority="1" operator="lessThan">
      <formula>51</formula>
    </cfRule>
    <cfRule type="cellIs" dxfId="13" priority="2" operator="lessThan">
      <formula>51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403"/>
  <sheetViews>
    <sheetView topLeftCell="X1" zoomScale="90" zoomScaleNormal="90" workbookViewId="0">
      <selection activeCell="AE30" sqref="AE30"/>
    </sheetView>
  </sheetViews>
  <sheetFormatPr defaultColWidth="13.453125" defaultRowHeight="18" customHeight="1" x14ac:dyDescent="0.35"/>
  <cols>
    <col min="1" max="1" width="13.453125" style="138"/>
    <col min="2" max="2" width="19.453125" style="138" customWidth="1"/>
    <col min="3" max="3" width="13.453125" style="138"/>
    <col min="4" max="4" width="10" style="138" customWidth="1"/>
    <col min="5" max="6" width="13.453125" style="171"/>
    <col min="7" max="7" width="5.453125" style="171" customWidth="1"/>
    <col min="8" max="8" width="13.453125" style="138"/>
    <col min="9" max="9" width="19.453125" style="138" customWidth="1"/>
    <col min="10" max="10" width="13.453125" style="138"/>
    <col min="11" max="11" width="8" style="138" customWidth="1"/>
    <col min="12" max="12" width="13.453125" style="171"/>
    <col min="13" max="13" width="10.453125" style="171" customWidth="1"/>
    <col min="14" max="14" width="4.453125" style="171" customWidth="1"/>
    <col min="15" max="15" width="13.453125" style="138"/>
    <col min="16" max="16" width="15.453125" style="138" customWidth="1"/>
    <col min="17" max="17" width="13.453125" style="138"/>
    <col min="18" max="18" width="8.453125" style="138" customWidth="1"/>
    <col min="19" max="20" width="10.54296875" style="171" customWidth="1"/>
    <col min="21" max="21" width="11.453125" style="171" customWidth="1"/>
    <col min="22" max="22" width="4.453125" style="171" customWidth="1"/>
    <col min="23" max="23" width="13.453125" style="138"/>
    <col min="24" max="24" width="15.453125" style="138" customWidth="1"/>
    <col min="25" max="25" width="13.453125" style="138"/>
    <col min="26" max="26" width="8.453125" style="138" customWidth="1"/>
    <col min="27" max="27" width="10.54296875" style="171" customWidth="1"/>
    <col min="28" max="28" width="13.453125" style="171"/>
    <col min="29" max="29" width="3.54296875" style="171" customWidth="1"/>
    <col min="30" max="30" width="13.453125" style="138"/>
    <col min="31" max="31" width="16.54296875" style="138" customWidth="1"/>
    <col min="32" max="32" width="13.453125" style="138"/>
    <col min="33" max="33" width="10.54296875" style="138" customWidth="1"/>
    <col min="34" max="34" width="10.54296875" style="171" customWidth="1"/>
    <col min="35" max="35" width="13.453125" style="171" customWidth="1"/>
    <col min="36" max="36" width="3.453125" style="171" customWidth="1"/>
    <col min="37" max="37" width="13.453125" style="171"/>
    <col min="38" max="38" width="15" style="171" customWidth="1"/>
    <col min="39" max="39" width="13.453125" style="171"/>
    <col min="40" max="40" width="8" style="171" customWidth="1"/>
    <col min="41" max="41" width="11.453125" style="171" customWidth="1"/>
    <col min="42" max="42" width="13.453125" style="171"/>
    <col min="43" max="43" width="10.1796875" style="171" customWidth="1"/>
    <col min="44" max="44" width="2.54296875" style="171" customWidth="1"/>
    <col min="45" max="45" width="13.453125" style="171"/>
    <col min="46" max="46" width="16" style="171" customWidth="1"/>
    <col min="47" max="47" width="13.453125" style="171"/>
    <col min="48" max="48" width="8.1796875" style="171" customWidth="1"/>
    <col min="49" max="49" width="11.54296875" style="171" customWidth="1"/>
    <col min="50" max="50" width="13.453125" style="171"/>
    <col min="51" max="51" width="9.453125" style="171" customWidth="1"/>
    <col min="52" max="52" width="5.453125" style="171" customWidth="1"/>
    <col min="53" max="53" width="31.54296875" style="171" customWidth="1"/>
    <col min="54" max="16384" width="13.453125" style="171"/>
  </cols>
  <sheetData>
    <row r="1" spans="1:53" s="170" customFormat="1" ht="18" customHeight="1" thickBot="1" x14ac:dyDescent="0.4">
      <c r="A1" s="647" t="s">
        <v>2002</v>
      </c>
      <c r="B1" s="648"/>
      <c r="C1" s="648"/>
      <c r="D1" s="648"/>
      <c r="E1" s="648"/>
      <c r="F1" s="649"/>
      <c r="H1" s="647" t="s">
        <v>2003</v>
      </c>
      <c r="I1" s="648"/>
      <c r="J1" s="648"/>
      <c r="K1" s="648"/>
      <c r="L1" s="648"/>
      <c r="M1" s="649"/>
      <c r="O1" s="647" t="s">
        <v>2008</v>
      </c>
      <c r="P1" s="648"/>
      <c r="Q1" s="648"/>
      <c r="R1" s="648"/>
      <c r="S1" s="648"/>
      <c r="T1" s="648"/>
      <c r="U1" s="649"/>
      <c r="W1" s="647" t="s">
        <v>2013</v>
      </c>
      <c r="X1" s="648"/>
      <c r="Y1" s="648"/>
      <c r="Z1" s="648"/>
      <c r="AA1" s="648"/>
      <c r="AB1" s="649"/>
      <c r="AD1" s="647" t="s">
        <v>2014</v>
      </c>
      <c r="AE1" s="648"/>
      <c r="AF1" s="648"/>
      <c r="AG1" s="648"/>
      <c r="AH1" s="648"/>
      <c r="AI1" s="649"/>
      <c r="AK1" s="647" t="s">
        <v>2016</v>
      </c>
      <c r="AL1" s="648"/>
      <c r="AM1" s="648"/>
      <c r="AN1" s="648"/>
      <c r="AO1" s="648"/>
      <c r="AP1" s="648"/>
      <c r="AQ1" s="649"/>
      <c r="AS1" s="650" t="s">
        <v>2017</v>
      </c>
      <c r="AT1" s="651"/>
      <c r="AU1" s="651"/>
      <c r="AV1" s="651"/>
      <c r="AW1" s="651"/>
      <c r="AX1" s="651"/>
      <c r="AY1" s="652"/>
    </row>
    <row r="2" spans="1:53" ht="36" customHeight="1" thickBot="1" x14ac:dyDescent="0.4">
      <c r="A2" s="157" t="s">
        <v>3</v>
      </c>
      <c r="B2" s="132" t="s">
        <v>1804</v>
      </c>
      <c r="C2" s="132" t="s">
        <v>4</v>
      </c>
      <c r="D2" s="132" t="s">
        <v>1805</v>
      </c>
      <c r="E2" s="133" t="s">
        <v>2006</v>
      </c>
      <c r="F2" s="134" t="s">
        <v>2005</v>
      </c>
      <c r="G2" s="144"/>
      <c r="H2" s="157" t="s">
        <v>3</v>
      </c>
      <c r="I2" s="132" t="s">
        <v>1804</v>
      </c>
      <c r="J2" s="132" t="s">
        <v>4</v>
      </c>
      <c r="K2" s="132" t="s">
        <v>1805</v>
      </c>
      <c r="L2" s="133" t="s">
        <v>2004</v>
      </c>
      <c r="M2" s="134" t="s">
        <v>2007</v>
      </c>
      <c r="N2" s="137"/>
      <c r="O2" s="157" t="s">
        <v>3</v>
      </c>
      <c r="P2" s="132" t="s">
        <v>1804</v>
      </c>
      <c r="Q2" s="132" t="s">
        <v>4</v>
      </c>
      <c r="R2" s="132" t="s">
        <v>1805</v>
      </c>
      <c r="S2" s="133" t="s">
        <v>2009</v>
      </c>
      <c r="T2" s="133" t="s">
        <v>2011</v>
      </c>
      <c r="U2" s="134" t="s">
        <v>2010</v>
      </c>
      <c r="W2" s="157" t="s">
        <v>3</v>
      </c>
      <c r="X2" s="132" t="s">
        <v>1804</v>
      </c>
      <c r="Y2" s="132" t="s">
        <v>4</v>
      </c>
      <c r="Z2" s="132" t="s">
        <v>1805</v>
      </c>
      <c r="AA2" s="133" t="s">
        <v>2006</v>
      </c>
      <c r="AB2" s="134" t="s">
        <v>2005</v>
      </c>
      <c r="AC2" s="144"/>
      <c r="AD2" s="157" t="s">
        <v>3</v>
      </c>
      <c r="AE2" s="132" t="s">
        <v>1804</v>
      </c>
      <c r="AF2" s="132" t="s">
        <v>4</v>
      </c>
      <c r="AG2" s="132" t="s">
        <v>1805</v>
      </c>
      <c r="AH2" s="133" t="s">
        <v>2012</v>
      </c>
      <c r="AI2" s="134" t="s">
        <v>2007</v>
      </c>
      <c r="AJ2" s="137"/>
      <c r="AK2" s="157" t="s">
        <v>3</v>
      </c>
      <c r="AL2" s="132" t="s">
        <v>1804</v>
      </c>
      <c r="AM2" s="132" t="s">
        <v>4</v>
      </c>
      <c r="AN2" s="132" t="s">
        <v>1805</v>
      </c>
      <c r="AO2" s="133" t="s">
        <v>2018</v>
      </c>
      <c r="AP2" s="134" t="s">
        <v>2011</v>
      </c>
      <c r="AQ2" s="134" t="s">
        <v>2015</v>
      </c>
      <c r="AS2" s="157" t="s">
        <v>3</v>
      </c>
      <c r="AT2" s="132" t="s">
        <v>1804</v>
      </c>
      <c r="AU2" s="132" t="s">
        <v>4</v>
      </c>
      <c r="AV2" s="132" t="s">
        <v>1805</v>
      </c>
      <c r="AW2" s="133" t="s">
        <v>2018</v>
      </c>
      <c r="AX2" s="134" t="s">
        <v>2011</v>
      </c>
      <c r="AY2" s="134" t="s">
        <v>2015</v>
      </c>
      <c r="BA2" s="350" t="s">
        <v>897</v>
      </c>
    </row>
    <row r="3" spans="1:53" ht="18" customHeight="1" x14ac:dyDescent="0.35">
      <c r="A3" s="158" t="s">
        <v>698</v>
      </c>
      <c r="B3" s="135" t="s">
        <v>919</v>
      </c>
      <c r="C3" s="135" t="s">
        <v>699</v>
      </c>
      <c r="D3" s="135"/>
      <c r="E3" s="159">
        <v>2</v>
      </c>
      <c r="F3" s="160">
        <v>0.24324324324324323</v>
      </c>
      <c r="G3" s="139"/>
      <c r="H3" s="158" t="s">
        <v>698</v>
      </c>
      <c r="I3" s="135" t="s">
        <v>919</v>
      </c>
      <c r="J3" s="139" t="s">
        <v>699</v>
      </c>
      <c r="K3" s="139"/>
      <c r="L3" s="142">
        <v>4</v>
      </c>
      <c r="M3" s="149">
        <v>0.27777777777777785</v>
      </c>
      <c r="O3" s="162"/>
      <c r="P3" s="139"/>
      <c r="Q3" s="139"/>
      <c r="R3" s="139"/>
      <c r="S3" s="142"/>
      <c r="T3" s="142"/>
      <c r="U3" s="143"/>
      <c r="W3" s="158" t="s">
        <v>357</v>
      </c>
      <c r="X3" s="135" t="s">
        <v>919</v>
      </c>
      <c r="Y3" s="139" t="s">
        <v>358</v>
      </c>
      <c r="Z3" s="139"/>
      <c r="AA3" s="159">
        <v>0</v>
      </c>
      <c r="AB3" s="160">
        <v>1</v>
      </c>
      <c r="AD3" s="158" t="s">
        <v>357</v>
      </c>
      <c r="AE3" s="135" t="s">
        <v>919</v>
      </c>
      <c r="AF3" s="135" t="s">
        <v>358</v>
      </c>
      <c r="AG3" s="135"/>
      <c r="AH3" s="159">
        <v>0</v>
      </c>
      <c r="AI3" s="160">
        <v>1</v>
      </c>
      <c r="AK3" s="158" t="s">
        <v>357</v>
      </c>
      <c r="AL3" s="135" t="s">
        <v>919</v>
      </c>
      <c r="AM3" s="139" t="s">
        <v>358</v>
      </c>
      <c r="AN3" s="139"/>
      <c r="AO3" s="142">
        <v>0</v>
      </c>
      <c r="AP3" s="148">
        <v>1</v>
      </c>
      <c r="AQ3" s="150">
        <v>76.514989195512499</v>
      </c>
      <c r="AS3" s="162" t="s">
        <v>81</v>
      </c>
      <c r="AT3" s="139" t="s">
        <v>919</v>
      </c>
      <c r="AU3" s="139" t="s">
        <v>82</v>
      </c>
      <c r="AV3" s="139"/>
      <c r="AW3" s="159">
        <v>0</v>
      </c>
      <c r="AX3" s="161">
        <v>0.12727272727272848</v>
      </c>
      <c r="AY3" s="181">
        <v>3.5</v>
      </c>
      <c r="BA3" s="242" t="s">
        <v>965</v>
      </c>
    </row>
    <row r="4" spans="1:53" ht="18" customHeight="1" x14ac:dyDescent="0.35">
      <c r="A4" s="162" t="s">
        <v>276</v>
      </c>
      <c r="B4" s="139" t="s">
        <v>919</v>
      </c>
      <c r="C4" s="139" t="s">
        <v>277</v>
      </c>
      <c r="D4" s="139"/>
      <c r="E4" s="142">
        <v>4</v>
      </c>
      <c r="F4" s="149">
        <v>0.3</v>
      </c>
      <c r="G4" s="139"/>
      <c r="H4" s="162" t="s">
        <v>276</v>
      </c>
      <c r="I4" s="139" t="s">
        <v>919</v>
      </c>
      <c r="J4" s="139" t="s">
        <v>277</v>
      </c>
      <c r="K4" s="139"/>
      <c r="L4" s="142">
        <v>4</v>
      </c>
      <c r="M4" s="149">
        <v>0.35135135135135132</v>
      </c>
      <c r="O4" s="162"/>
      <c r="P4" s="139"/>
      <c r="Q4" s="139"/>
      <c r="R4" s="139"/>
      <c r="S4" s="142"/>
      <c r="T4" s="142"/>
      <c r="U4" s="143"/>
      <c r="W4" s="162" t="s">
        <v>895</v>
      </c>
      <c r="X4" s="139" t="s">
        <v>919</v>
      </c>
      <c r="Y4" s="139" t="s">
        <v>896</v>
      </c>
      <c r="Z4" s="139"/>
      <c r="AA4" s="142">
        <v>0</v>
      </c>
      <c r="AB4" s="155">
        <v>1</v>
      </c>
      <c r="AD4" s="162" t="s">
        <v>895</v>
      </c>
      <c r="AE4" s="139" t="s">
        <v>919</v>
      </c>
      <c r="AF4" s="139" t="s">
        <v>896</v>
      </c>
      <c r="AG4" s="139"/>
      <c r="AH4" s="142">
        <v>1</v>
      </c>
      <c r="AI4" s="155">
        <v>1</v>
      </c>
      <c r="AK4" s="162" t="s">
        <v>895</v>
      </c>
      <c r="AL4" s="139" t="s">
        <v>919</v>
      </c>
      <c r="AM4" s="139" t="s">
        <v>896</v>
      </c>
      <c r="AN4" s="139"/>
      <c r="AO4" s="142">
        <v>1</v>
      </c>
      <c r="AP4" s="154">
        <v>1</v>
      </c>
      <c r="AQ4" s="156">
        <v>79.862897716185543</v>
      </c>
      <c r="AS4" s="162" t="s">
        <v>174</v>
      </c>
      <c r="AT4" s="139" t="s">
        <v>916</v>
      </c>
      <c r="AU4" s="139" t="s">
        <v>175</v>
      </c>
      <c r="AV4" s="139"/>
      <c r="AW4" s="142">
        <v>0</v>
      </c>
      <c r="AX4" s="148">
        <v>0.40000000000000091</v>
      </c>
      <c r="AY4" s="150">
        <v>46.437860198869771</v>
      </c>
      <c r="BA4" s="242" t="s">
        <v>898</v>
      </c>
    </row>
    <row r="5" spans="1:53" ht="18" customHeight="1" x14ac:dyDescent="0.35">
      <c r="A5" s="162" t="s">
        <v>262</v>
      </c>
      <c r="B5" s="139" t="s">
        <v>919</v>
      </c>
      <c r="C5" s="139" t="s">
        <v>263</v>
      </c>
      <c r="D5" s="139"/>
      <c r="E5" s="142">
        <v>3</v>
      </c>
      <c r="F5" s="155">
        <v>0.27272727272727265</v>
      </c>
      <c r="G5" s="139"/>
      <c r="H5" s="162" t="s">
        <v>262</v>
      </c>
      <c r="I5" s="139" t="s">
        <v>919</v>
      </c>
      <c r="J5" s="139" t="s">
        <v>263</v>
      </c>
      <c r="K5" s="139"/>
      <c r="L5" s="142">
        <v>4</v>
      </c>
      <c r="M5" s="155">
        <v>0.4</v>
      </c>
      <c r="O5" s="162" t="s">
        <v>262</v>
      </c>
      <c r="P5" s="139" t="s">
        <v>919</v>
      </c>
      <c r="Q5" s="139" t="s">
        <v>263</v>
      </c>
      <c r="R5" s="139"/>
      <c r="S5" s="163">
        <v>4</v>
      </c>
      <c r="T5" s="164">
        <v>0.27777777777777785</v>
      </c>
      <c r="U5" s="165">
        <v>50.794506277859881</v>
      </c>
      <c r="V5" s="138"/>
      <c r="W5" s="162" t="s">
        <v>39</v>
      </c>
      <c r="X5" s="139" t="s">
        <v>919</v>
      </c>
      <c r="Y5" s="139" t="s">
        <v>40</v>
      </c>
      <c r="Z5" s="139"/>
      <c r="AA5" s="142">
        <v>0</v>
      </c>
      <c r="AB5" s="149">
        <v>1</v>
      </c>
      <c r="AD5" s="162" t="s">
        <v>39</v>
      </c>
      <c r="AE5" s="139" t="s">
        <v>919</v>
      </c>
      <c r="AF5" s="139" t="s">
        <v>40</v>
      </c>
      <c r="AG5" s="139"/>
      <c r="AH5" s="142">
        <v>0</v>
      </c>
      <c r="AI5" s="149">
        <v>1</v>
      </c>
      <c r="AK5" s="162"/>
      <c r="AL5" s="139"/>
      <c r="AM5" s="139"/>
      <c r="AN5" s="139"/>
      <c r="AO5" s="142"/>
      <c r="AP5" s="142"/>
      <c r="AQ5" s="143"/>
      <c r="AS5" s="162" t="s">
        <v>260</v>
      </c>
      <c r="AT5" s="317" t="s">
        <v>938</v>
      </c>
      <c r="AU5" s="139" t="s">
        <v>261</v>
      </c>
      <c r="AV5" s="139"/>
      <c r="AW5" s="142">
        <v>0</v>
      </c>
      <c r="AX5" s="148">
        <v>0.38888888888888884</v>
      </c>
      <c r="AY5" s="150">
        <v>44.330744830731653</v>
      </c>
      <c r="BA5" s="242" t="s">
        <v>909</v>
      </c>
    </row>
    <row r="6" spans="1:53" ht="18" customHeight="1" x14ac:dyDescent="0.35">
      <c r="A6" s="516" t="s">
        <v>268</v>
      </c>
      <c r="B6" s="139" t="s">
        <v>918</v>
      </c>
      <c r="C6" s="139" t="s">
        <v>269</v>
      </c>
      <c r="D6" s="139"/>
      <c r="E6" s="142">
        <v>2</v>
      </c>
      <c r="F6" s="149">
        <v>0.2</v>
      </c>
      <c r="G6" s="139"/>
      <c r="H6" s="162" t="s">
        <v>268</v>
      </c>
      <c r="I6" s="139" t="s">
        <v>918</v>
      </c>
      <c r="J6" s="139" t="s">
        <v>269</v>
      </c>
      <c r="K6" s="139"/>
      <c r="L6" s="142">
        <v>2</v>
      </c>
      <c r="M6" s="149">
        <v>0.33333333333333343</v>
      </c>
      <c r="O6" s="162"/>
      <c r="P6" s="139"/>
      <c r="Q6" s="139"/>
      <c r="R6" s="139"/>
      <c r="S6" s="142"/>
      <c r="T6" s="142"/>
      <c r="U6" s="143"/>
      <c r="W6" s="141" t="s">
        <v>588</v>
      </c>
      <c r="X6" s="139" t="s">
        <v>919</v>
      </c>
      <c r="Y6" s="139" t="s">
        <v>589</v>
      </c>
      <c r="Z6" s="139"/>
      <c r="AA6" s="152">
        <v>0</v>
      </c>
      <c r="AB6" s="153">
        <v>0.6</v>
      </c>
      <c r="AD6" s="141" t="s">
        <v>588</v>
      </c>
      <c r="AE6" s="139" t="s">
        <v>919</v>
      </c>
      <c r="AF6" s="139" t="s">
        <v>589</v>
      </c>
      <c r="AG6" s="139"/>
      <c r="AH6" s="152">
        <v>0</v>
      </c>
      <c r="AI6" s="153">
        <v>1</v>
      </c>
      <c r="AK6" s="162"/>
      <c r="AL6" s="139"/>
      <c r="AM6" s="139"/>
      <c r="AN6" s="139"/>
      <c r="AO6" s="142"/>
      <c r="AP6" s="142"/>
      <c r="AQ6" s="143"/>
      <c r="AS6" s="162" t="s">
        <v>278</v>
      </c>
      <c r="AT6" s="139" t="s">
        <v>926</v>
      </c>
      <c r="AU6" s="139" t="s">
        <v>279</v>
      </c>
      <c r="AV6" s="139"/>
      <c r="AW6" s="142">
        <v>0</v>
      </c>
      <c r="AX6" s="148">
        <v>0.16666666666666657</v>
      </c>
      <c r="AY6" s="150">
        <v>23.154050841438639</v>
      </c>
      <c r="BA6" s="242"/>
    </row>
    <row r="7" spans="1:53" ht="33" customHeight="1" x14ac:dyDescent="0.35">
      <c r="A7" s="162" t="s">
        <v>519</v>
      </c>
      <c r="B7" s="139" t="s">
        <v>919</v>
      </c>
      <c r="C7" s="139" t="s">
        <v>520</v>
      </c>
      <c r="D7" s="139"/>
      <c r="E7" s="142">
        <v>3</v>
      </c>
      <c r="F7" s="155">
        <v>0.13636363636363641</v>
      </c>
      <c r="G7" s="139"/>
      <c r="H7" s="162" t="s">
        <v>519</v>
      </c>
      <c r="I7" s="139" t="s">
        <v>919</v>
      </c>
      <c r="J7" s="139" t="s">
        <v>520</v>
      </c>
      <c r="K7" s="139"/>
      <c r="L7" s="142">
        <v>3</v>
      </c>
      <c r="M7" s="155">
        <v>0.44999999999999996</v>
      </c>
      <c r="O7" s="162"/>
      <c r="P7" s="139"/>
      <c r="Q7" s="139"/>
      <c r="R7" s="139"/>
      <c r="S7" s="142"/>
      <c r="T7" s="142"/>
      <c r="U7" s="143"/>
      <c r="W7" s="162" t="s">
        <v>708</v>
      </c>
      <c r="X7" s="139" t="s">
        <v>916</v>
      </c>
      <c r="Y7" s="139" t="s">
        <v>709</v>
      </c>
      <c r="Z7" s="139"/>
      <c r="AA7" s="142">
        <v>0</v>
      </c>
      <c r="AB7" s="149">
        <v>0.67567567567567566</v>
      </c>
      <c r="AD7" s="162" t="s">
        <v>728</v>
      </c>
      <c r="AE7" s="139" t="s">
        <v>926</v>
      </c>
      <c r="AF7" s="139" t="s">
        <v>729</v>
      </c>
      <c r="AG7" s="139"/>
      <c r="AH7" s="142">
        <v>0</v>
      </c>
      <c r="AI7" s="149">
        <v>0.55555555555555558</v>
      </c>
      <c r="AK7" s="162" t="s">
        <v>728</v>
      </c>
      <c r="AL7" s="139" t="s">
        <v>926</v>
      </c>
      <c r="AM7" s="139" t="s">
        <v>729</v>
      </c>
      <c r="AN7" s="139"/>
      <c r="AO7" s="142">
        <v>0</v>
      </c>
      <c r="AP7" s="148">
        <v>0.9375</v>
      </c>
      <c r="AQ7" s="150">
        <v>103.30137648103192</v>
      </c>
      <c r="AS7" s="162" t="s">
        <v>406</v>
      </c>
      <c r="AT7" s="139" t="s">
        <v>918</v>
      </c>
      <c r="AU7" s="139" t="s">
        <v>407</v>
      </c>
      <c r="AV7" s="139"/>
      <c r="AW7" s="142">
        <v>0</v>
      </c>
      <c r="AX7" s="148">
        <v>0.45454545454545447</v>
      </c>
      <c r="AY7" s="150">
        <v>-13.736891145078419</v>
      </c>
      <c r="BA7" s="243"/>
    </row>
    <row r="8" spans="1:53" ht="18" customHeight="1" x14ac:dyDescent="0.35">
      <c r="A8" s="162" t="s">
        <v>531</v>
      </c>
      <c r="B8" s="139" t="s">
        <v>919</v>
      </c>
      <c r="C8" s="139" t="s">
        <v>532</v>
      </c>
      <c r="D8" s="139"/>
      <c r="E8" s="142">
        <v>2</v>
      </c>
      <c r="F8" s="149">
        <v>5.2631578947368494E-2</v>
      </c>
      <c r="G8" s="139"/>
      <c r="H8" s="162"/>
      <c r="I8" s="139"/>
      <c r="J8" s="139"/>
      <c r="K8" s="139"/>
      <c r="L8" s="142"/>
      <c r="M8" s="143"/>
      <c r="O8" s="162" t="s">
        <v>531</v>
      </c>
      <c r="P8" s="139" t="s">
        <v>919</v>
      </c>
      <c r="Q8" s="139" t="s">
        <v>532</v>
      </c>
      <c r="R8" s="139"/>
      <c r="S8" s="142">
        <v>4</v>
      </c>
      <c r="T8" s="148">
        <v>0.25</v>
      </c>
      <c r="U8" s="150">
        <v>55.555058157759078</v>
      </c>
      <c r="W8" s="162" t="s">
        <v>785</v>
      </c>
      <c r="X8" s="139" t="s">
        <v>919</v>
      </c>
      <c r="Y8" s="139" t="s">
        <v>786</v>
      </c>
      <c r="Z8" s="139"/>
      <c r="AA8" s="142">
        <v>0</v>
      </c>
      <c r="AB8" s="149">
        <v>0.75</v>
      </c>
      <c r="AD8" s="162" t="s">
        <v>652</v>
      </c>
      <c r="AE8" s="139" t="s">
        <v>918</v>
      </c>
      <c r="AF8" s="139" t="s">
        <v>653</v>
      </c>
      <c r="AG8" s="139"/>
      <c r="AH8" s="142">
        <v>0</v>
      </c>
      <c r="AI8" s="149">
        <v>0.56756756756756754</v>
      </c>
      <c r="AK8" s="162" t="s">
        <v>652</v>
      </c>
      <c r="AL8" s="139" t="s">
        <v>918</v>
      </c>
      <c r="AM8" s="139" t="s">
        <v>653</v>
      </c>
      <c r="AN8" s="139"/>
      <c r="AO8" s="142">
        <v>0</v>
      </c>
      <c r="AP8" s="148">
        <v>0.63636363636363635</v>
      </c>
      <c r="AQ8" s="150">
        <v>122.40945462213301</v>
      </c>
      <c r="AS8" s="162" t="s">
        <v>453</v>
      </c>
      <c r="AT8" s="139" t="s">
        <v>919</v>
      </c>
      <c r="AU8" s="139" t="s">
        <v>454</v>
      </c>
      <c r="AV8" s="139"/>
      <c r="AW8" s="142">
        <v>0</v>
      </c>
      <c r="AX8" s="148">
        <v>0.3125</v>
      </c>
      <c r="AY8" s="150">
        <v>22.704898956985502</v>
      </c>
    </row>
    <row r="9" spans="1:53" ht="18" customHeight="1" x14ac:dyDescent="0.35">
      <c r="A9" s="162" t="s">
        <v>682</v>
      </c>
      <c r="B9" s="139" t="s">
        <v>919</v>
      </c>
      <c r="C9" s="139" t="s">
        <v>683</v>
      </c>
      <c r="D9" s="139"/>
      <c r="E9" s="142">
        <v>2</v>
      </c>
      <c r="F9" s="149">
        <v>2.7027027027026945E-2</v>
      </c>
      <c r="G9" s="139"/>
      <c r="H9" s="162" t="s">
        <v>682</v>
      </c>
      <c r="I9" s="139" t="s">
        <v>919</v>
      </c>
      <c r="J9" s="139" t="s">
        <v>683</v>
      </c>
      <c r="K9" s="139"/>
      <c r="L9" s="142">
        <v>2</v>
      </c>
      <c r="M9" s="149">
        <v>0.33333333333333343</v>
      </c>
      <c r="O9" s="162"/>
      <c r="P9" s="139"/>
      <c r="Q9" s="139"/>
      <c r="R9" s="139"/>
      <c r="S9" s="142"/>
      <c r="T9" s="142"/>
      <c r="U9" s="143"/>
      <c r="W9" s="177" t="s">
        <v>606</v>
      </c>
      <c r="X9" s="145" t="s">
        <v>919</v>
      </c>
      <c r="Y9" s="145" t="s">
        <v>607</v>
      </c>
      <c r="Z9" s="145"/>
      <c r="AA9" s="178">
        <v>0</v>
      </c>
      <c r="AB9" s="179">
        <v>0.6</v>
      </c>
      <c r="AD9" s="162" t="s">
        <v>481</v>
      </c>
      <c r="AE9" s="139" t="s">
        <v>918</v>
      </c>
      <c r="AF9" s="139" t="s">
        <v>482</v>
      </c>
      <c r="AG9" s="139"/>
      <c r="AH9" s="142">
        <v>1</v>
      </c>
      <c r="AI9" s="149">
        <v>0.55555555555555558</v>
      </c>
      <c r="AK9" s="162" t="s">
        <v>481</v>
      </c>
      <c r="AL9" s="139" t="s">
        <v>918</v>
      </c>
      <c r="AM9" s="139" t="s">
        <v>482</v>
      </c>
      <c r="AN9" s="139"/>
      <c r="AO9" s="142">
        <v>1</v>
      </c>
      <c r="AP9" s="148">
        <v>0.6875</v>
      </c>
      <c r="AQ9" s="150">
        <v>110.72458519654245</v>
      </c>
      <c r="AS9" s="162" t="s">
        <v>487</v>
      </c>
      <c r="AT9" s="139" t="s">
        <v>919</v>
      </c>
      <c r="AU9" s="139" t="s">
        <v>488</v>
      </c>
      <c r="AV9" s="139"/>
      <c r="AW9" s="142">
        <v>0</v>
      </c>
      <c r="AX9" s="148">
        <v>0.4375</v>
      </c>
      <c r="AY9" s="150">
        <v>39.052924791086383</v>
      </c>
    </row>
    <row r="10" spans="1:53" ht="18" customHeight="1" x14ac:dyDescent="0.35">
      <c r="A10" s="162" t="s">
        <v>747</v>
      </c>
      <c r="B10" s="139" t="s">
        <v>919</v>
      </c>
      <c r="C10" s="139" t="s">
        <v>748</v>
      </c>
      <c r="D10" s="139"/>
      <c r="E10" s="142">
        <v>3</v>
      </c>
      <c r="F10" s="149">
        <v>0</v>
      </c>
      <c r="G10" s="139"/>
      <c r="H10" s="162" t="s">
        <v>747</v>
      </c>
      <c r="I10" s="139" t="s">
        <v>919</v>
      </c>
      <c r="J10" s="139" t="s">
        <v>748</v>
      </c>
      <c r="K10" s="139"/>
      <c r="L10" s="142">
        <v>4</v>
      </c>
      <c r="M10" s="149">
        <v>0.1</v>
      </c>
      <c r="O10" s="162" t="s">
        <v>747</v>
      </c>
      <c r="P10" s="139" t="s">
        <v>919</v>
      </c>
      <c r="Q10" s="139" t="s">
        <v>748</v>
      </c>
      <c r="R10" s="139"/>
      <c r="S10" s="142">
        <v>4</v>
      </c>
      <c r="T10" s="148">
        <v>0.15789473684210525</v>
      </c>
      <c r="U10" s="150">
        <v>80.71037209421911</v>
      </c>
      <c r="AD10" s="162" t="s">
        <v>183</v>
      </c>
      <c r="AE10" s="139" t="s">
        <v>918</v>
      </c>
      <c r="AF10" s="139" t="s">
        <v>184</v>
      </c>
      <c r="AG10" s="139"/>
      <c r="AH10" s="142">
        <v>0</v>
      </c>
      <c r="AI10" s="149">
        <v>0.5</v>
      </c>
      <c r="AK10" s="162" t="s">
        <v>686</v>
      </c>
      <c r="AL10" s="139" t="s">
        <v>916</v>
      </c>
      <c r="AM10" s="139" t="s">
        <v>687</v>
      </c>
      <c r="AN10" s="139"/>
      <c r="AO10" s="142">
        <v>0</v>
      </c>
      <c r="AP10" s="154">
        <v>0.55555555555555558</v>
      </c>
      <c r="AQ10" s="156">
        <v>105.86729194991993</v>
      </c>
      <c r="AS10" s="162" t="s">
        <v>493</v>
      </c>
      <c r="AT10" s="139" t="s">
        <v>918</v>
      </c>
      <c r="AU10" s="139" t="s">
        <v>494</v>
      </c>
      <c r="AV10" s="139"/>
      <c r="AW10" s="142">
        <v>0</v>
      </c>
      <c r="AX10" s="148">
        <v>0.3125</v>
      </c>
      <c r="AY10" s="150">
        <v>5.6762366959241533</v>
      </c>
    </row>
    <row r="11" spans="1:53" ht="18" customHeight="1" x14ac:dyDescent="0.35">
      <c r="A11" s="162" t="s">
        <v>33</v>
      </c>
      <c r="B11" s="139" t="s">
        <v>919</v>
      </c>
      <c r="C11" s="139" t="s">
        <v>34</v>
      </c>
      <c r="D11" s="139"/>
      <c r="E11" s="142">
        <v>2</v>
      </c>
      <c r="F11" s="155">
        <v>0</v>
      </c>
      <c r="G11" s="139"/>
      <c r="H11" s="162" t="s">
        <v>33</v>
      </c>
      <c r="I11" s="139" t="s">
        <v>919</v>
      </c>
      <c r="J11" s="139" t="s">
        <v>34</v>
      </c>
      <c r="K11" s="139"/>
      <c r="L11" s="142">
        <v>4</v>
      </c>
      <c r="M11" s="155">
        <v>0</v>
      </c>
      <c r="O11" s="162"/>
      <c r="P11" s="139"/>
      <c r="Q11" s="139"/>
      <c r="R11" s="139"/>
      <c r="S11" s="142"/>
      <c r="T11" s="142"/>
      <c r="U11" s="143"/>
      <c r="AD11" s="162" t="s">
        <v>714</v>
      </c>
      <c r="AE11" s="139" t="s">
        <v>919</v>
      </c>
      <c r="AF11" s="139" t="s">
        <v>715</v>
      </c>
      <c r="AG11" s="139"/>
      <c r="AH11" s="142">
        <v>0</v>
      </c>
      <c r="AI11" s="149">
        <v>0.5</v>
      </c>
      <c r="AK11" s="162" t="s">
        <v>680</v>
      </c>
      <c r="AL11" s="139" t="s">
        <v>918</v>
      </c>
      <c r="AM11" s="139" t="s">
        <v>681</v>
      </c>
      <c r="AN11" s="139"/>
      <c r="AO11" s="142">
        <v>0</v>
      </c>
      <c r="AP11" s="148">
        <v>0.625</v>
      </c>
      <c r="AQ11" s="150">
        <v>69.674836257754748</v>
      </c>
      <c r="AS11" s="162" t="s">
        <v>557</v>
      </c>
      <c r="AT11" s="172" t="s">
        <v>915</v>
      </c>
      <c r="AU11" s="139" t="s">
        <v>558</v>
      </c>
      <c r="AV11" s="139"/>
      <c r="AW11" s="142">
        <v>0</v>
      </c>
      <c r="AX11" s="148">
        <v>0.27777777777777785</v>
      </c>
      <c r="AY11" s="150">
        <v>14.651810584958248</v>
      </c>
    </row>
    <row r="12" spans="1:53" ht="18" customHeight="1" x14ac:dyDescent="0.35">
      <c r="A12" s="162" t="s">
        <v>159</v>
      </c>
      <c r="B12" s="139" t="s">
        <v>926</v>
      </c>
      <c r="C12" s="139" t="s">
        <v>160</v>
      </c>
      <c r="D12" s="139"/>
      <c r="E12" s="142">
        <v>2</v>
      </c>
      <c r="F12" s="155">
        <v>0.18181818181818174</v>
      </c>
      <c r="G12" s="139"/>
      <c r="H12" s="162" t="s">
        <v>159</v>
      </c>
      <c r="I12" s="139" t="s">
        <v>926</v>
      </c>
      <c r="J12" s="139" t="s">
        <v>160</v>
      </c>
      <c r="K12" s="139"/>
      <c r="L12" s="142">
        <v>4</v>
      </c>
      <c r="M12" s="155">
        <v>0.2</v>
      </c>
      <c r="O12" s="162" t="s">
        <v>159</v>
      </c>
      <c r="P12" s="139" t="s">
        <v>926</v>
      </c>
      <c r="Q12" s="139" t="s">
        <v>160</v>
      </c>
      <c r="R12" s="139"/>
      <c r="S12" s="142">
        <v>4</v>
      </c>
      <c r="T12" s="154">
        <v>0.16666666666666657</v>
      </c>
      <c r="U12" s="156">
        <v>144.94489651072348</v>
      </c>
      <c r="AD12" s="162" t="s">
        <v>704</v>
      </c>
      <c r="AE12" s="139" t="s">
        <v>919</v>
      </c>
      <c r="AF12" s="139" t="s">
        <v>705</v>
      </c>
      <c r="AG12" s="139"/>
      <c r="AH12" s="142">
        <v>1</v>
      </c>
      <c r="AI12" s="149">
        <v>0.66666666666666674</v>
      </c>
      <c r="AK12" s="162" t="s">
        <v>620</v>
      </c>
      <c r="AL12" s="139" t="s">
        <v>918</v>
      </c>
      <c r="AM12" s="139" t="s">
        <v>621</v>
      </c>
      <c r="AN12" s="139"/>
      <c r="AO12" s="142">
        <v>0</v>
      </c>
      <c r="AP12" s="148">
        <v>0.5757575757575758</v>
      </c>
      <c r="AQ12" s="150">
        <v>85.916851548181683</v>
      </c>
      <c r="AS12" s="162" t="s">
        <v>571</v>
      </c>
      <c r="AT12" s="139" t="s">
        <v>919</v>
      </c>
      <c r="AU12" s="139" t="s">
        <v>572</v>
      </c>
      <c r="AV12" s="139"/>
      <c r="AW12" s="142">
        <v>0</v>
      </c>
      <c r="AX12" s="148">
        <v>0.16666666666666657</v>
      </c>
      <c r="AY12" s="150">
        <v>42.198817742829831</v>
      </c>
    </row>
    <row r="13" spans="1:53" ht="18" customHeight="1" x14ac:dyDescent="0.35">
      <c r="A13" s="162" t="s">
        <v>461</v>
      </c>
      <c r="B13" s="139" t="s">
        <v>919</v>
      </c>
      <c r="C13" s="139" t="s">
        <v>462</v>
      </c>
      <c r="D13" s="139"/>
      <c r="E13" s="142">
        <v>3</v>
      </c>
      <c r="F13" s="149">
        <v>0.15</v>
      </c>
      <c r="G13" s="139"/>
      <c r="H13" s="162" t="s">
        <v>461</v>
      </c>
      <c r="I13" s="139" t="s">
        <v>919</v>
      </c>
      <c r="J13" s="139" t="s">
        <v>462</v>
      </c>
      <c r="K13" s="139"/>
      <c r="L13" s="142">
        <v>4</v>
      </c>
      <c r="M13" s="149">
        <v>0.38888888888888884</v>
      </c>
      <c r="O13" s="162"/>
      <c r="P13" s="139"/>
      <c r="Q13" s="139"/>
      <c r="R13" s="139"/>
      <c r="S13" s="142"/>
      <c r="T13" s="142"/>
      <c r="U13" s="143"/>
      <c r="AD13" s="141" t="s">
        <v>69</v>
      </c>
      <c r="AE13" s="139" t="s">
        <v>919</v>
      </c>
      <c r="AF13" s="139" t="s">
        <v>70</v>
      </c>
      <c r="AG13" s="139"/>
      <c r="AH13" s="152">
        <v>1</v>
      </c>
      <c r="AI13" s="153">
        <v>0.95</v>
      </c>
      <c r="AK13" s="162" t="s">
        <v>660</v>
      </c>
      <c r="AL13" s="139" t="s">
        <v>918</v>
      </c>
      <c r="AM13" s="139" t="s">
        <v>661</v>
      </c>
      <c r="AN13" s="139"/>
      <c r="AO13" s="142">
        <v>0</v>
      </c>
      <c r="AP13" s="148">
        <v>0.6875</v>
      </c>
      <c r="AQ13" s="150">
        <v>103.01648322627231</v>
      </c>
      <c r="AS13" s="162" t="s">
        <v>586</v>
      </c>
      <c r="AT13" s="142" t="s">
        <v>918</v>
      </c>
      <c r="AU13" s="139" t="s">
        <v>587</v>
      </c>
      <c r="AV13" s="139"/>
      <c r="AW13" s="142">
        <v>0</v>
      </c>
      <c r="AX13" s="148">
        <v>0.39393939393939392</v>
      </c>
      <c r="AY13" s="150">
        <v>13.44008911020515</v>
      </c>
    </row>
    <row r="14" spans="1:53" ht="18" customHeight="1" x14ac:dyDescent="0.35">
      <c r="A14" s="162" t="s">
        <v>753</v>
      </c>
      <c r="B14" s="139" t="s">
        <v>919</v>
      </c>
      <c r="C14" s="139" t="s">
        <v>754</v>
      </c>
      <c r="D14" s="139"/>
      <c r="E14" s="142">
        <v>2</v>
      </c>
      <c r="F14" s="149">
        <v>4.5454545454545456E-2</v>
      </c>
      <c r="G14" s="139"/>
      <c r="H14" s="162" t="s">
        <v>753</v>
      </c>
      <c r="I14" s="139" t="s">
        <v>919</v>
      </c>
      <c r="J14" s="139" t="s">
        <v>754</v>
      </c>
      <c r="K14" s="139"/>
      <c r="L14" s="142">
        <v>4</v>
      </c>
      <c r="M14" s="149">
        <v>0</v>
      </c>
      <c r="O14" s="162"/>
      <c r="P14" s="139"/>
      <c r="Q14" s="139"/>
      <c r="R14" s="139"/>
      <c r="S14" s="142"/>
      <c r="T14" s="142"/>
      <c r="U14" s="143"/>
      <c r="AD14" s="141" t="s">
        <v>339</v>
      </c>
      <c r="AE14" s="139" t="s">
        <v>919</v>
      </c>
      <c r="AF14" s="139" t="s">
        <v>340</v>
      </c>
      <c r="AG14" s="139"/>
      <c r="AH14" s="152">
        <v>0</v>
      </c>
      <c r="AI14" s="153">
        <v>1</v>
      </c>
      <c r="AK14" s="162" t="s">
        <v>228</v>
      </c>
      <c r="AL14" s="139" t="s">
        <v>918</v>
      </c>
      <c r="AM14" s="139" t="s">
        <v>229</v>
      </c>
      <c r="AN14" s="139"/>
      <c r="AO14" s="142">
        <v>0</v>
      </c>
      <c r="AP14" s="148">
        <v>0.50909090909090982</v>
      </c>
      <c r="AQ14" s="150">
        <v>113.44716425138975</v>
      </c>
      <c r="AS14" s="162" t="s">
        <v>590</v>
      </c>
      <c r="AT14" s="318" t="s">
        <v>919</v>
      </c>
      <c r="AU14" s="139" t="s">
        <v>591</v>
      </c>
      <c r="AV14" s="139"/>
      <c r="AW14" s="142">
        <v>0</v>
      </c>
      <c r="AX14" s="148">
        <v>3.0303030303030311E-2</v>
      </c>
      <c r="AY14" s="150">
        <v>4.8646186029789069</v>
      </c>
    </row>
    <row r="15" spans="1:53" ht="18" customHeight="1" x14ac:dyDescent="0.35">
      <c r="A15" s="162" t="s">
        <v>775</v>
      </c>
      <c r="B15" s="139" t="s">
        <v>919</v>
      </c>
      <c r="C15" s="139" t="s">
        <v>776</v>
      </c>
      <c r="D15" s="139"/>
      <c r="E15" s="142">
        <v>3</v>
      </c>
      <c r="F15" s="149">
        <v>0.13636363636363635</v>
      </c>
      <c r="G15" s="139"/>
      <c r="H15" s="162" t="s">
        <v>775</v>
      </c>
      <c r="I15" s="139" t="s">
        <v>919</v>
      </c>
      <c r="J15" s="139" t="s">
        <v>776</v>
      </c>
      <c r="K15" s="139"/>
      <c r="L15" s="142">
        <v>4</v>
      </c>
      <c r="M15" s="149">
        <v>0.1</v>
      </c>
      <c r="O15" s="162" t="s">
        <v>775</v>
      </c>
      <c r="P15" s="139" t="s">
        <v>919</v>
      </c>
      <c r="Q15" s="139" t="s">
        <v>776</v>
      </c>
      <c r="R15" s="139"/>
      <c r="S15" s="142">
        <v>4</v>
      </c>
      <c r="T15" s="148">
        <v>0.15789473684210525</v>
      </c>
      <c r="U15" s="150">
        <v>68.096893619405506</v>
      </c>
      <c r="AD15" s="162" t="s">
        <v>132</v>
      </c>
      <c r="AE15" s="139" t="s">
        <v>918</v>
      </c>
      <c r="AF15" s="139" t="s">
        <v>133</v>
      </c>
      <c r="AG15" s="139"/>
      <c r="AH15" s="142">
        <v>1</v>
      </c>
      <c r="AI15" s="149">
        <v>0.65</v>
      </c>
      <c r="AK15" s="162" t="s">
        <v>799</v>
      </c>
      <c r="AL15" s="139" t="s">
        <v>918</v>
      </c>
      <c r="AM15" s="139" t="s">
        <v>800</v>
      </c>
      <c r="AN15" s="139"/>
      <c r="AO15" s="142">
        <v>1</v>
      </c>
      <c r="AP15" s="148">
        <v>0.5</v>
      </c>
      <c r="AQ15" s="150">
        <v>91.049963744848782</v>
      </c>
      <c r="AS15" s="162" t="s">
        <v>612</v>
      </c>
      <c r="AT15" s="142" t="s">
        <v>918</v>
      </c>
      <c r="AU15" s="139" t="s">
        <v>613</v>
      </c>
      <c r="AV15" s="139"/>
      <c r="AW15" s="142">
        <v>0</v>
      </c>
      <c r="AX15" s="148">
        <v>0.45454545454545459</v>
      </c>
      <c r="AY15" s="150">
        <v>-18.0627421822089</v>
      </c>
    </row>
    <row r="16" spans="1:53" ht="18" customHeight="1" x14ac:dyDescent="0.35">
      <c r="A16" s="162" t="s">
        <v>881</v>
      </c>
      <c r="B16" s="139" t="s">
        <v>919</v>
      </c>
      <c r="C16" s="139" t="s">
        <v>882</v>
      </c>
      <c r="D16" s="139"/>
      <c r="E16" s="142">
        <v>3</v>
      </c>
      <c r="F16" s="155">
        <v>0</v>
      </c>
      <c r="G16" s="139"/>
      <c r="H16" s="162" t="s">
        <v>881</v>
      </c>
      <c r="I16" s="139" t="s">
        <v>919</v>
      </c>
      <c r="J16" s="139" t="s">
        <v>882</v>
      </c>
      <c r="K16" s="139"/>
      <c r="L16" s="142">
        <v>4</v>
      </c>
      <c r="M16" s="155">
        <v>0</v>
      </c>
      <c r="O16" s="162" t="s">
        <v>881</v>
      </c>
      <c r="P16" s="139" t="s">
        <v>919</v>
      </c>
      <c r="Q16" s="139" t="s">
        <v>882</v>
      </c>
      <c r="R16" s="139"/>
      <c r="S16" s="142">
        <v>4</v>
      </c>
      <c r="T16" s="154">
        <v>0.11111111111111115</v>
      </c>
      <c r="U16" s="156">
        <v>95.723393184923282</v>
      </c>
      <c r="AD16" s="162" t="s">
        <v>54</v>
      </c>
      <c r="AE16" s="139" t="s">
        <v>918</v>
      </c>
      <c r="AF16" s="139" t="s">
        <v>55</v>
      </c>
      <c r="AG16" s="139"/>
      <c r="AH16" s="142">
        <v>1</v>
      </c>
      <c r="AI16" s="149">
        <v>0.55000000000000004</v>
      </c>
      <c r="AK16" s="162" t="s">
        <v>889</v>
      </c>
      <c r="AL16" s="139" t="s">
        <v>918</v>
      </c>
      <c r="AM16" s="139" t="s">
        <v>890</v>
      </c>
      <c r="AN16" s="139"/>
      <c r="AO16" s="142">
        <v>0</v>
      </c>
      <c r="AP16" s="148">
        <v>0.5757575757575758</v>
      </c>
      <c r="AQ16" s="150">
        <v>93.141125795640477</v>
      </c>
      <c r="AS16" s="162" t="s">
        <v>628</v>
      </c>
      <c r="AT16" s="171" t="s">
        <v>919</v>
      </c>
      <c r="AU16" s="139" t="s">
        <v>629</v>
      </c>
      <c r="AV16" s="139"/>
      <c r="AW16" s="142">
        <v>0</v>
      </c>
      <c r="AX16" s="148">
        <v>0.27272727272727265</v>
      </c>
      <c r="AY16" s="150">
        <v>40.528686018063084</v>
      </c>
    </row>
    <row r="17" spans="1:51" ht="18" customHeight="1" x14ac:dyDescent="0.35">
      <c r="A17" s="162" t="s">
        <v>375</v>
      </c>
      <c r="B17" s="139" t="s">
        <v>919</v>
      </c>
      <c r="C17" s="139" t="s">
        <v>376</v>
      </c>
      <c r="D17" s="139"/>
      <c r="E17" s="142">
        <v>2</v>
      </c>
      <c r="F17" s="149">
        <v>0.2</v>
      </c>
      <c r="G17" s="139"/>
      <c r="H17" s="162" t="s">
        <v>375</v>
      </c>
      <c r="I17" s="139" t="s">
        <v>919</v>
      </c>
      <c r="J17" s="139" t="s">
        <v>376</v>
      </c>
      <c r="K17" s="139"/>
      <c r="L17" s="142">
        <v>4</v>
      </c>
      <c r="M17" s="149">
        <v>0.29729729729729726</v>
      </c>
      <c r="O17" s="162"/>
      <c r="P17" s="139"/>
      <c r="Q17" s="139"/>
      <c r="R17" s="139"/>
      <c r="S17" s="142"/>
      <c r="T17" s="142"/>
      <c r="U17" s="143"/>
      <c r="AD17" s="162" t="s">
        <v>293</v>
      </c>
      <c r="AE17" s="139" t="s">
        <v>919</v>
      </c>
      <c r="AF17" s="139" t="s">
        <v>294</v>
      </c>
      <c r="AG17" s="139"/>
      <c r="AH17" s="142">
        <v>0</v>
      </c>
      <c r="AI17" s="149">
        <v>0.56756756756756754</v>
      </c>
      <c r="AK17" s="162" t="s">
        <v>843</v>
      </c>
      <c r="AL17" s="139" t="s">
        <v>918</v>
      </c>
      <c r="AM17" s="139" t="s">
        <v>844</v>
      </c>
      <c r="AN17" s="139"/>
      <c r="AO17" s="142">
        <v>0</v>
      </c>
      <c r="AP17" s="148">
        <v>0.5</v>
      </c>
      <c r="AQ17" s="150">
        <v>88.097535645449469</v>
      </c>
      <c r="AS17" s="162" t="s">
        <v>662</v>
      </c>
      <c r="AT17" s="139" t="s">
        <v>919</v>
      </c>
      <c r="AU17" s="139" t="s">
        <v>663</v>
      </c>
      <c r="AV17" s="139"/>
      <c r="AW17" s="142">
        <v>0</v>
      </c>
      <c r="AX17" s="154">
        <v>0.33333333333333343</v>
      </c>
      <c r="AY17" s="156">
        <v>-3.4583022931561871</v>
      </c>
    </row>
    <row r="18" spans="1:51" ht="18" customHeight="1" x14ac:dyDescent="0.35">
      <c r="A18" s="162" t="s">
        <v>379</v>
      </c>
      <c r="B18" s="139" t="s">
        <v>918</v>
      </c>
      <c r="C18" s="139" t="s">
        <v>380</v>
      </c>
      <c r="D18" s="139"/>
      <c r="E18" s="142">
        <v>3</v>
      </c>
      <c r="F18" s="149">
        <v>0.2</v>
      </c>
      <c r="G18" s="139"/>
      <c r="H18" s="162" t="s">
        <v>379</v>
      </c>
      <c r="I18" s="139" t="s">
        <v>918</v>
      </c>
      <c r="J18" s="139" t="s">
        <v>380</v>
      </c>
      <c r="K18" s="139"/>
      <c r="L18" s="142">
        <v>2</v>
      </c>
      <c r="M18" s="149">
        <v>0.1891891891891892</v>
      </c>
      <c r="O18" s="162"/>
      <c r="P18" s="139"/>
      <c r="Q18" s="139"/>
      <c r="R18" s="139"/>
      <c r="S18" s="142"/>
      <c r="T18" s="142"/>
      <c r="U18" s="143"/>
      <c r="AD18" s="162" t="s">
        <v>11</v>
      </c>
      <c r="AE18" s="137" t="s">
        <v>993</v>
      </c>
      <c r="AF18" s="139" t="s">
        <v>12</v>
      </c>
      <c r="AG18" s="137" t="s">
        <v>939</v>
      </c>
      <c r="AH18" s="142">
        <v>0</v>
      </c>
      <c r="AI18" s="149">
        <v>0.55000000000000004</v>
      </c>
      <c r="AK18" s="162" t="s">
        <v>135</v>
      </c>
      <c r="AL18" s="139" t="s">
        <v>918</v>
      </c>
      <c r="AM18" s="139" t="s">
        <v>136</v>
      </c>
      <c r="AN18" s="139"/>
      <c r="AO18" s="142">
        <v>0</v>
      </c>
      <c r="AP18" s="148">
        <v>0.50909090909090982</v>
      </c>
      <c r="AQ18" s="150">
        <v>79.682698628517016</v>
      </c>
      <c r="AS18" s="162" t="s">
        <v>670</v>
      </c>
      <c r="AT18" s="139" t="s">
        <v>919</v>
      </c>
      <c r="AU18" s="139" t="s">
        <v>671</v>
      </c>
      <c r="AV18" s="139"/>
      <c r="AW18" s="142">
        <v>0</v>
      </c>
      <c r="AX18" s="154">
        <v>0.375</v>
      </c>
      <c r="AY18" s="156">
        <v>-4.2309197484047969</v>
      </c>
    </row>
    <row r="19" spans="1:51" ht="18" customHeight="1" x14ac:dyDescent="0.35">
      <c r="A19" s="162" t="s">
        <v>592</v>
      </c>
      <c r="B19" s="139" t="s">
        <v>919</v>
      </c>
      <c r="C19" s="139" t="s">
        <v>593</v>
      </c>
      <c r="D19" s="139"/>
      <c r="E19" s="142">
        <v>2</v>
      </c>
      <c r="F19" s="155">
        <v>0.05</v>
      </c>
      <c r="G19" s="139"/>
      <c r="H19" s="162" t="s">
        <v>592</v>
      </c>
      <c r="I19" s="139" t="s">
        <v>919</v>
      </c>
      <c r="J19" s="139" t="s">
        <v>593</v>
      </c>
      <c r="K19" s="139"/>
      <c r="L19" s="142">
        <v>2</v>
      </c>
      <c r="M19" s="155">
        <v>0.15</v>
      </c>
      <c r="O19" s="162"/>
      <c r="P19" s="139"/>
      <c r="Q19" s="139"/>
      <c r="R19" s="139"/>
      <c r="S19" s="142"/>
      <c r="T19" s="142"/>
      <c r="U19" s="143"/>
      <c r="AD19" s="162" t="s">
        <v>678</v>
      </c>
      <c r="AE19" s="139" t="s">
        <v>919</v>
      </c>
      <c r="AF19" s="139" t="s">
        <v>679</v>
      </c>
      <c r="AG19" s="139"/>
      <c r="AH19" s="142">
        <v>1</v>
      </c>
      <c r="AI19" s="149">
        <v>0.77777777777777768</v>
      </c>
      <c r="AK19" s="162" t="s">
        <v>777</v>
      </c>
      <c r="AL19" s="139" t="s">
        <v>918</v>
      </c>
      <c r="AM19" s="139" t="s">
        <v>778</v>
      </c>
      <c r="AN19" s="139"/>
      <c r="AO19" s="142">
        <v>0</v>
      </c>
      <c r="AP19" s="148">
        <v>0.5</v>
      </c>
      <c r="AQ19" s="150">
        <v>55.549564633519793</v>
      </c>
      <c r="AS19" s="162" t="s">
        <v>797</v>
      </c>
      <c r="AT19" s="172" t="s">
        <v>915</v>
      </c>
      <c r="AU19" s="139" t="s">
        <v>798</v>
      </c>
      <c r="AV19" s="139"/>
      <c r="AW19" s="142">
        <v>0</v>
      </c>
      <c r="AX19" s="148">
        <v>0.1875</v>
      </c>
      <c r="AY19" s="150">
        <v>8.8531230182837484E-2</v>
      </c>
    </row>
    <row r="20" spans="1:51" ht="18" customHeight="1" x14ac:dyDescent="0.35">
      <c r="A20" s="162" t="s">
        <v>355</v>
      </c>
      <c r="B20" s="139" t="s">
        <v>919</v>
      </c>
      <c r="C20" s="139" t="s">
        <v>356</v>
      </c>
      <c r="D20" s="139"/>
      <c r="E20" s="142">
        <v>3</v>
      </c>
      <c r="F20" s="149">
        <v>0.2</v>
      </c>
      <c r="G20" s="139"/>
      <c r="H20" s="162" t="s">
        <v>355</v>
      </c>
      <c r="I20" s="139" t="s">
        <v>919</v>
      </c>
      <c r="J20" s="139" t="s">
        <v>356</v>
      </c>
      <c r="K20" s="139"/>
      <c r="L20" s="142">
        <v>4</v>
      </c>
      <c r="M20" s="149">
        <v>0.24324324324324323</v>
      </c>
      <c r="O20" s="162"/>
      <c r="P20" s="139"/>
      <c r="Q20" s="139"/>
      <c r="R20" s="139"/>
      <c r="S20" s="142"/>
      <c r="T20" s="142"/>
      <c r="U20" s="143"/>
      <c r="AD20" s="162" t="s">
        <v>841</v>
      </c>
      <c r="AE20" s="139" t="s">
        <v>926</v>
      </c>
      <c r="AF20" s="139" t="s">
        <v>842</v>
      </c>
      <c r="AG20" s="139"/>
      <c r="AH20" s="142">
        <v>1</v>
      </c>
      <c r="AI20" s="149">
        <v>0.66666666666666674</v>
      </c>
      <c r="AK20" s="162" t="s">
        <v>783</v>
      </c>
      <c r="AL20" s="139" t="s">
        <v>918</v>
      </c>
      <c r="AM20" s="139" t="s">
        <v>784</v>
      </c>
      <c r="AN20" s="139"/>
      <c r="AO20" s="142">
        <v>0</v>
      </c>
      <c r="AP20" s="148">
        <v>0.625</v>
      </c>
      <c r="AQ20" s="150">
        <v>85.459610027855206</v>
      </c>
      <c r="AS20" s="162" t="s">
        <v>861</v>
      </c>
      <c r="AT20" s="139" t="s">
        <v>916</v>
      </c>
      <c r="AU20" s="139" t="s">
        <v>862</v>
      </c>
      <c r="AV20" s="139"/>
      <c r="AW20" s="142">
        <v>0</v>
      </c>
      <c r="AX20" s="148">
        <v>0.15151515151515155</v>
      </c>
      <c r="AY20" s="150">
        <v>16.435896448927217</v>
      </c>
    </row>
    <row r="21" spans="1:51" ht="18" customHeight="1" x14ac:dyDescent="0.35">
      <c r="A21" s="162" t="s">
        <v>301</v>
      </c>
      <c r="B21" s="139" t="s">
        <v>918</v>
      </c>
      <c r="C21" s="139" t="s">
        <v>302</v>
      </c>
      <c r="D21" s="139"/>
      <c r="E21" s="142">
        <v>2</v>
      </c>
      <c r="F21" s="149">
        <v>0.15</v>
      </c>
      <c r="H21" s="162" t="s">
        <v>749</v>
      </c>
      <c r="I21" s="139" t="s">
        <v>919</v>
      </c>
      <c r="J21" s="139" t="s">
        <v>750</v>
      </c>
      <c r="K21" s="139"/>
      <c r="L21" s="142">
        <v>2</v>
      </c>
      <c r="M21" s="149">
        <v>0.1</v>
      </c>
      <c r="O21" s="162" t="s">
        <v>749</v>
      </c>
      <c r="P21" s="139" t="s">
        <v>919</v>
      </c>
      <c r="Q21" s="139" t="s">
        <v>750</v>
      </c>
      <c r="R21" s="139"/>
      <c r="S21" s="142">
        <v>4</v>
      </c>
      <c r="T21" s="148">
        <v>0.15789473684210525</v>
      </c>
      <c r="U21" s="150">
        <v>66.317158785078675</v>
      </c>
      <c r="AD21" s="162" t="s">
        <v>162</v>
      </c>
      <c r="AE21" s="139" t="s">
        <v>918</v>
      </c>
      <c r="AF21" s="139" t="s">
        <v>163</v>
      </c>
      <c r="AG21" s="139"/>
      <c r="AH21" s="142">
        <v>0</v>
      </c>
      <c r="AI21" s="149">
        <v>0.6</v>
      </c>
      <c r="AK21" s="162" t="s">
        <v>702</v>
      </c>
      <c r="AL21" s="139" t="s">
        <v>918</v>
      </c>
      <c r="AM21" s="139" t="s">
        <v>703</v>
      </c>
      <c r="AN21" s="139"/>
      <c r="AO21" s="142">
        <v>0</v>
      </c>
      <c r="AP21" s="148">
        <v>0.625</v>
      </c>
      <c r="AQ21" s="150">
        <v>93.307924743315624</v>
      </c>
      <c r="AS21" s="166" t="s">
        <v>867</v>
      </c>
      <c r="AT21" s="180" t="s">
        <v>919</v>
      </c>
      <c r="AU21" s="145" t="s">
        <v>868</v>
      </c>
      <c r="AV21" s="145"/>
      <c r="AW21" s="146">
        <v>0</v>
      </c>
      <c r="AX21" s="167">
        <v>0.33333333333333343</v>
      </c>
      <c r="AY21" s="168">
        <v>20.38997214484683</v>
      </c>
    </row>
    <row r="22" spans="1:51" ht="18" customHeight="1" x14ac:dyDescent="0.35">
      <c r="A22" s="162" t="s">
        <v>341</v>
      </c>
      <c r="B22" s="139" t="s">
        <v>919</v>
      </c>
      <c r="C22" s="139" t="s">
        <v>342</v>
      </c>
      <c r="D22" s="139"/>
      <c r="E22" s="142">
        <v>2</v>
      </c>
      <c r="F22" s="149">
        <v>0.1</v>
      </c>
      <c r="H22" s="162" t="s">
        <v>252</v>
      </c>
      <c r="I22" s="139" t="s">
        <v>919</v>
      </c>
      <c r="J22" s="139" t="s">
        <v>253</v>
      </c>
      <c r="K22" s="139"/>
      <c r="L22" s="142">
        <v>3</v>
      </c>
      <c r="M22" s="149">
        <v>0.22222222222222215</v>
      </c>
      <c r="O22" s="162" t="s">
        <v>379</v>
      </c>
      <c r="P22" s="139" t="s">
        <v>918</v>
      </c>
      <c r="Q22" s="139" t="s">
        <v>380</v>
      </c>
      <c r="R22" s="139"/>
      <c r="S22" s="142">
        <v>2</v>
      </c>
      <c r="T22" s="148">
        <v>0.27777777777777785</v>
      </c>
      <c r="U22" s="150">
        <v>71.722717363426511</v>
      </c>
      <c r="AD22" s="162" t="s">
        <v>803</v>
      </c>
      <c r="AE22" s="139" t="s">
        <v>919</v>
      </c>
      <c r="AF22" s="139" t="s">
        <v>804</v>
      </c>
      <c r="AG22" s="139"/>
      <c r="AH22" s="142">
        <v>1</v>
      </c>
      <c r="AI22" s="149">
        <v>0.55555555555555558</v>
      </c>
      <c r="AK22" s="162" t="s">
        <v>787</v>
      </c>
      <c r="AL22" s="139" t="s">
        <v>918</v>
      </c>
      <c r="AM22" s="139" t="s">
        <v>788</v>
      </c>
      <c r="AN22" s="139"/>
      <c r="AO22" s="142">
        <v>0</v>
      </c>
      <c r="AP22" s="148">
        <v>0.5</v>
      </c>
      <c r="AQ22" s="150">
        <v>168.69434938314228</v>
      </c>
    </row>
    <row r="23" spans="1:51" ht="18" customHeight="1" x14ac:dyDescent="0.35">
      <c r="A23" s="162" t="s">
        <v>582</v>
      </c>
      <c r="B23" s="139" t="s">
        <v>918</v>
      </c>
      <c r="C23" s="139" t="s">
        <v>583</v>
      </c>
      <c r="D23" s="139"/>
      <c r="E23" s="142">
        <v>2</v>
      </c>
      <c r="F23" s="149">
        <v>0.1</v>
      </c>
      <c r="H23" s="162" t="s">
        <v>557</v>
      </c>
      <c r="I23" s="139" t="s">
        <v>918</v>
      </c>
      <c r="J23" s="139" t="s">
        <v>558</v>
      </c>
      <c r="K23" s="139"/>
      <c r="L23" s="142">
        <v>2</v>
      </c>
      <c r="M23" s="149">
        <v>0.16666666666666657</v>
      </c>
      <c r="O23" s="162" t="s">
        <v>632</v>
      </c>
      <c r="P23" s="139" t="s">
        <v>919</v>
      </c>
      <c r="Q23" s="139" t="s">
        <v>633</v>
      </c>
      <c r="R23" s="139"/>
      <c r="S23" s="142">
        <v>4</v>
      </c>
      <c r="T23" s="148">
        <v>0.39393939393939392</v>
      </c>
      <c r="U23" s="150">
        <v>58.711523860778755</v>
      </c>
      <c r="AD23" s="166" t="s">
        <v>586</v>
      </c>
      <c r="AE23" s="180" t="s">
        <v>918</v>
      </c>
      <c r="AF23" s="145" t="s">
        <v>587</v>
      </c>
      <c r="AG23" s="145"/>
      <c r="AH23" s="146">
        <v>0</v>
      </c>
      <c r="AI23" s="169">
        <v>0.51351351351351349</v>
      </c>
      <c r="AK23" s="162" t="s">
        <v>192</v>
      </c>
      <c r="AL23" s="139" t="s">
        <v>918</v>
      </c>
      <c r="AM23" s="139" t="s">
        <v>193</v>
      </c>
      <c r="AN23" s="139"/>
      <c r="AO23" s="142">
        <v>0</v>
      </c>
      <c r="AP23" s="148">
        <v>0.50909090909090982</v>
      </c>
      <c r="AQ23" s="150">
        <v>90.681437284021712</v>
      </c>
      <c r="AU23" s="136"/>
    </row>
    <row r="24" spans="1:51" ht="18" customHeight="1" x14ac:dyDescent="0.35">
      <c r="A24" s="162" t="s">
        <v>353</v>
      </c>
      <c r="B24" s="139" t="s">
        <v>916</v>
      </c>
      <c r="C24" s="139" t="s">
        <v>354</v>
      </c>
      <c r="D24" s="139"/>
      <c r="E24" s="142">
        <v>2</v>
      </c>
      <c r="F24" s="149">
        <v>0</v>
      </c>
      <c r="H24" s="162" t="s">
        <v>489</v>
      </c>
      <c r="I24" s="139" t="s">
        <v>919</v>
      </c>
      <c r="J24" s="139" t="s">
        <v>490</v>
      </c>
      <c r="K24" s="139"/>
      <c r="L24" s="142">
        <v>2</v>
      </c>
      <c r="M24" s="149">
        <v>0.44444444444444442</v>
      </c>
      <c r="O24" s="162" t="s">
        <v>459</v>
      </c>
      <c r="P24" s="139" t="s">
        <v>918</v>
      </c>
      <c r="Q24" s="139" t="s">
        <v>460</v>
      </c>
      <c r="R24" s="139"/>
      <c r="S24" s="142">
        <v>2</v>
      </c>
      <c r="T24" s="154">
        <v>0</v>
      </c>
      <c r="U24" s="156">
        <v>110.14614982061633</v>
      </c>
      <c r="AK24" s="162" t="s">
        <v>14</v>
      </c>
      <c r="AL24" s="139" t="s">
        <v>918</v>
      </c>
      <c r="AM24" s="139" t="s">
        <v>15</v>
      </c>
      <c r="AN24" s="139"/>
      <c r="AO24" s="142">
        <v>0</v>
      </c>
      <c r="AP24" s="148">
        <v>0.5636363636363636</v>
      </c>
      <c r="AQ24" s="150">
        <v>108.7821437860199</v>
      </c>
      <c r="AU24" s="136"/>
    </row>
    <row r="25" spans="1:51" ht="18" customHeight="1" x14ac:dyDescent="0.35">
      <c r="A25" s="162" t="s">
        <v>402</v>
      </c>
      <c r="B25" s="139" t="s">
        <v>937</v>
      </c>
      <c r="C25" s="139" t="s">
        <v>403</v>
      </c>
      <c r="D25" s="139"/>
      <c r="E25" s="142">
        <v>2</v>
      </c>
      <c r="F25" s="149">
        <v>0.45454545454545459</v>
      </c>
      <c r="H25" s="162" t="s">
        <v>580</v>
      </c>
      <c r="I25" s="139" t="s">
        <v>919</v>
      </c>
      <c r="J25" s="139" t="s">
        <v>581</v>
      </c>
      <c r="K25" s="139"/>
      <c r="L25" s="142">
        <v>2</v>
      </c>
      <c r="M25" s="149">
        <v>0.45945945945945943</v>
      </c>
      <c r="O25" s="162" t="s">
        <v>829</v>
      </c>
      <c r="P25" s="139" t="s">
        <v>918</v>
      </c>
      <c r="Q25" s="139" t="s">
        <v>830</v>
      </c>
      <c r="R25" s="139"/>
      <c r="S25" s="142">
        <v>2</v>
      </c>
      <c r="T25" s="148">
        <v>0.1875</v>
      </c>
      <c r="U25" s="150">
        <v>126.6322954853531</v>
      </c>
      <c r="AK25" s="162" t="s">
        <v>692</v>
      </c>
      <c r="AL25" s="139" t="s">
        <v>918</v>
      </c>
      <c r="AM25" s="139" t="s">
        <v>693</v>
      </c>
      <c r="AN25" s="139"/>
      <c r="AO25" s="142">
        <v>0</v>
      </c>
      <c r="AP25" s="148">
        <v>0.5</v>
      </c>
      <c r="AQ25" s="150">
        <v>77.191409316152146</v>
      </c>
      <c r="AU25" s="136"/>
    </row>
    <row r="26" spans="1:51" ht="18" customHeight="1" x14ac:dyDescent="0.35">
      <c r="A26" s="162" t="s">
        <v>266</v>
      </c>
      <c r="B26" s="139" t="s">
        <v>919</v>
      </c>
      <c r="C26" s="139" t="s">
        <v>267</v>
      </c>
      <c r="D26" s="139"/>
      <c r="E26" s="142">
        <v>4</v>
      </c>
      <c r="F26" s="149">
        <v>0.35</v>
      </c>
      <c r="H26" s="141" t="s">
        <v>66</v>
      </c>
      <c r="I26" s="139" t="s">
        <v>938</v>
      </c>
      <c r="J26" s="139" t="s">
        <v>67</v>
      </c>
      <c r="K26" s="139"/>
      <c r="L26" s="152">
        <v>4</v>
      </c>
      <c r="M26" s="153">
        <v>0.25</v>
      </c>
      <c r="O26" s="166" t="s">
        <v>54</v>
      </c>
      <c r="P26" s="145" t="s">
        <v>918</v>
      </c>
      <c r="Q26" s="145" t="s">
        <v>55</v>
      </c>
      <c r="R26" s="145"/>
      <c r="S26" s="146">
        <v>2</v>
      </c>
      <c r="T26" s="167">
        <v>0.45454545454545536</v>
      </c>
      <c r="U26" s="168">
        <v>72.791438369894081</v>
      </c>
      <c r="AK26" s="162" t="s">
        <v>893</v>
      </c>
      <c r="AL26" s="139" t="s">
        <v>918</v>
      </c>
      <c r="AM26" s="139" t="s">
        <v>894</v>
      </c>
      <c r="AN26" s="139"/>
      <c r="AO26" s="142">
        <v>0</v>
      </c>
      <c r="AP26" s="148">
        <v>0.63636363636363635</v>
      </c>
      <c r="AQ26" s="150">
        <v>107.79537024913731</v>
      </c>
      <c r="AU26" s="136"/>
    </row>
    <row r="27" spans="1:51" ht="18" customHeight="1" x14ac:dyDescent="0.35">
      <c r="A27" s="162" t="s">
        <v>626</v>
      </c>
      <c r="B27" s="139" t="s">
        <v>919</v>
      </c>
      <c r="C27" s="139" t="s">
        <v>627</v>
      </c>
      <c r="D27" s="139"/>
      <c r="E27" s="142">
        <v>2</v>
      </c>
      <c r="F27" s="149">
        <v>0.44999999999999996</v>
      </c>
      <c r="H27" s="162" t="s">
        <v>869</v>
      </c>
      <c r="I27" s="139" t="s">
        <v>919</v>
      </c>
      <c r="J27" s="139" t="s">
        <v>870</v>
      </c>
      <c r="K27" s="139"/>
      <c r="L27" s="142">
        <v>4</v>
      </c>
      <c r="M27" s="149">
        <v>0.1891891891891892</v>
      </c>
      <c r="AK27" s="162" t="s">
        <v>805</v>
      </c>
      <c r="AL27" s="139" t="s">
        <v>918</v>
      </c>
      <c r="AM27" s="139" t="s">
        <v>806</v>
      </c>
      <c r="AN27" s="139"/>
      <c r="AO27" s="142">
        <v>0</v>
      </c>
      <c r="AP27" s="148">
        <v>0.625</v>
      </c>
      <c r="AQ27" s="150">
        <v>223.89972144846803</v>
      </c>
      <c r="AU27" s="136"/>
    </row>
    <row r="28" spans="1:51" ht="18" customHeight="1" x14ac:dyDescent="0.35">
      <c r="A28" s="162" t="s">
        <v>204</v>
      </c>
      <c r="B28" s="139" t="s">
        <v>920</v>
      </c>
      <c r="C28" s="139" t="s">
        <v>205</v>
      </c>
      <c r="D28" s="139"/>
      <c r="E28" s="142">
        <v>2</v>
      </c>
      <c r="F28" s="149">
        <v>4.545454545454547E-2</v>
      </c>
      <c r="H28" s="162" t="s">
        <v>710</v>
      </c>
      <c r="I28" s="139" t="s">
        <v>919</v>
      </c>
      <c r="J28" s="139" t="s">
        <v>711</v>
      </c>
      <c r="K28" s="139"/>
      <c r="L28" s="142">
        <v>4</v>
      </c>
      <c r="M28" s="149">
        <v>0.16666666666666657</v>
      </c>
      <c r="AK28" s="162" t="s">
        <v>696</v>
      </c>
      <c r="AL28" s="139" t="s">
        <v>918</v>
      </c>
      <c r="AM28" s="139" t="s">
        <v>697</v>
      </c>
      <c r="AN28" s="139"/>
      <c r="AO28" s="142">
        <v>1</v>
      </c>
      <c r="AP28" s="148">
        <v>0.5625</v>
      </c>
      <c r="AQ28" s="150">
        <v>113.88484480047376</v>
      </c>
      <c r="AU28" s="136"/>
    </row>
    <row r="29" spans="1:51" ht="18" customHeight="1" x14ac:dyDescent="0.35">
      <c r="A29" s="162" t="s">
        <v>801</v>
      </c>
      <c r="B29" s="139" t="s">
        <v>919</v>
      </c>
      <c r="C29" s="139" t="s">
        <v>802</v>
      </c>
      <c r="D29" s="139"/>
      <c r="E29" s="142">
        <v>2</v>
      </c>
      <c r="F29" s="149">
        <v>0.3</v>
      </c>
      <c r="H29" s="162" t="s">
        <v>801</v>
      </c>
      <c r="I29" s="139" t="s">
        <v>919</v>
      </c>
      <c r="J29" s="139" t="s">
        <v>802</v>
      </c>
      <c r="K29" s="139"/>
      <c r="L29" s="142">
        <v>4</v>
      </c>
      <c r="M29" s="149">
        <v>0.38888888888888884</v>
      </c>
      <c r="AK29" s="162" t="s">
        <v>841</v>
      </c>
      <c r="AL29" s="139" t="s">
        <v>926</v>
      </c>
      <c r="AM29" s="139" t="s">
        <v>842</v>
      </c>
      <c r="AN29" s="139"/>
      <c r="AO29" s="142">
        <v>0</v>
      </c>
      <c r="AP29" s="148">
        <v>1</v>
      </c>
      <c r="AQ29" s="150">
        <v>145.7011526299512</v>
      </c>
      <c r="AU29" s="136"/>
    </row>
    <row r="30" spans="1:51" ht="18" customHeight="1" x14ac:dyDescent="0.35">
      <c r="A30" s="162" t="s">
        <v>781</v>
      </c>
      <c r="B30" s="139" t="s">
        <v>919</v>
      </c>
      <c r="C30" s="139" t="s">
        <v>782</v>
      </c>
      <c r="D30" s="139"/>
      <c r="E30" s="142">
        <v>2</v>
      </c>
      <c r="F30" s="149">
        <v>0.44999999999999996</v>
      </c>
      <c r="H30" s="162" t="s">
        <v>730</v>
      </c>
      <c r="I30" s="172" t="s">
        <v>915</v>
      </c>
      <c r="J30" s="139" t="s">
        <v>731</v>
      </c>
      <c r="K30" s="139"/>
      <c r="L30" s="142">
        <v>2</v>
      </c>
      <c r="M30" s="155">
        <v>0.05</v>
      </c>
      <c r="AK30" s="162" t="s">
        <v>402</v>
      </c>
      <c r="AL30" s="139" t="s">
        <v>937</v>
      </c>
      <c r="AM30" s="139" t="s">
        <v>403</v>
      </c>
      <c r="AN30" s="139"/>
      <c r="AO30" s="142">
        <v>1</v>
      </c>
      <c r="AP30" s="148">
        <v>0.83636363636363642</v>
      </c>
      <c r="AQ30" s="150">
        <v>82.607643768735244</v>
      </c>
      <c r="AU30" s="136"/>
    </row>
    <row r="31" spans="1:51" ht="18" customHeight="1" x14ac:dyDescent="0.35">
      <c r="A31" s="162" t="s">
        <v>297</v>
      </c>
      <c r="B31" s="139" t="s">
        <v>919</v>
      </c>
      <c r="C31" s="139" t="s">
        <v>298</v>
      </c>
      <c r="D31" s="139"/>
      <c r="E31" s="142">
        <v>4</v>
      </c>
      <c r="F31" s="149">
        <v>0.44999999999999996</v>
      </c>
      <c r="H31" s="162" t="s">
        <v>732</v>
      </c>
      <c r="I31" s="139" t="s">
        <v>918</v>
      </c>
      <c r="J31" s="139" t="s">
        <v>733</v>
      </c>
      <c r="K31" s="139"/>
      <c r="L31" s="142">
        <v>2</v>
      </c>
      <c r="M31" s="155">
        <v>0.2</v>
      </c>
      <c r="AK31" s="162" t="s">
        <v>674</v>
      </c>
      <c r="AL31" s="139" t="s">
        <v>918</v>
      </c>
      <c r="AM31" s="139" t="s">
        <v>675</v>
      </c>
      <c r="AN31" s="139"/>
      <c r="AO31" s="142">
        <v>0</v>
      </c>
      <c r="AP31" s="148">
        <v>0.625</v>
      </c>
      <c r="AQ31" s="150">
        <v>106.77364812848379</v>
      </c>
      <c r="AU31" s="136"/>
    </row>
    <row r="32" spans="1:51" ht="18" customHeight="1" x14ac:dyDescent="0.35">
      <c r="A32" s="141" t="s">
        <v>123</v>
      </c>
      <c r="B32" s="139" t="s">
        <v>923</v>
      </c>
      <c r="C32" s="139" t="s">
        <v>124</v>
      </c>
      <c r="D32" s="139"/>
      <c r="E32" s="152">
        <v>2</v>
      </c>
      <c r="F32" s="153">
        <v>0.18181818181818174</v>
      </c>
      <c r="H32" s="162" t="s">
        <v>666</v>
      </c>
      <c r="I32" s="139" t="s">
        <v>919</v>
      </c>
      <c r="J32" s="139" t="s">
        <v>667</v>
      </c>
      <c r="K32" s="139"/>
      <c r="L32" s="142">
        <v>4</v>
      </c>
      <c r="M32" s="149">
        <v>0.44444444444444442</v>
      </c>
      <c r="AK32" s="162" t="s">
        <v>268</v>
      </c>
      <c r="AL32" s="139" t="s">
        <v>918</v>
      </c>
      <c r="AM32" s="139" t="s">
        <v>269</v>
      </c>
      <c r="AN32" s="139"/>
      <c r="AO32" s="142">
        <v>0</v>
      </c>
      <c r="AP32" s="148">
        <v>0.55555555555555558</v>
      </c>
      <c r="AQ32" s="150">
        <v>77.036732211183036</v>
      </c>
      <c r="AU32" s="136"/>
    </row>
    <row r="33" spans="1:47" ht="18" customHeight="1" x14ac:dyDescent="0.35">
      <c r="A33" s="162" t="s">
        <v>183</v>
      </c>
      <c r="B33" s="139" t="s">
        <v>918</v>
      </c>
      <c r="C33" s="139" t="s">
        <v>184</v>
      </c>
      <c r="D33" s="139"/>
      <c r="E33" s="142">
        <v>2</v>
      </c>
      <c r="F33" s="149">
        <v>0.27272727272727265</v>
      </c>
      <c r="H33" s="162" t="s">
        <v>726</v>
      </c>
      <c r="I33" s="139" t="s">
        <v>919</v>
      </c>
      <c r="J33" s="139" t="s">
        <v>727</v>
      </c>
      <c r="K33" s="139"/>
      <c r="L33" s="142">
        <v>2</v>
      </c>
      <c r="M33" s="149">
        <v>0.33333333333333343</v>
      </c>
      <c r="AK33" s="166" t="s">
        <v>313</v>
      </c>
      <c r="AL33" s="145" t="s">
        <v>918</v>
      </c>
      <c r="AM33" s="145" t="s">
        <v>314</v>
      </c>
      <c r="AN33" s="145"/>
      <c r="AO33" s="146">
        <v>0</v>
      </c>
      <c r="AP33" s="167">
        <v>0.5</v>
      </c>
      <c r="AQ33" s="168">
        <v>83.472423460476577</v>
      </c>
      <c r="AU33" s="136"/>
    </row>
    <row r="34" spans="1:47" ht="18" customHeight="1" x14ac:dyDescent="0.35">
      <c r="A34" s="162" t="s">
        <v>714</v>
      </c>
      <c r="B34" s="139" t="s">
        <v>919</v>
      </c>
      <c r="C34" s="139" t="s">
        <v>715</v>
      </c>
      <c r="D34" s="139"/>
      <c r="E34" s="142">
        <v>2</v>
      </c>
      <c r="F34" s="149">
        <v>0.29729729729729726</v>
      </c>
      <c r="H34" s="166" t="s">
        <v>741</v>
      </c>
      <c r="I34" s="145" t="s">
        <v>918</v>
      </c>
      <c r="J34" s="145" t="s">
        <v>742</v>
      </c>
      <c r="K34" s="145"/>
      <c r="L34" s="146">
        <v>2</v>
      </c>
      <c r="M34" s="169">
        <v>0.1</v>
      </c>
      <c r="AU34" s="136"/>
    </row>
    <row r="35" spans="1:47" ht="18" customHeight="1" x14ac:dyDescent="0.35">
      <c r="A35" s="162" t="s">
        <v>779</v>
      </c>
      <c r="B35" s="139" t="s">
        <v>919</v>
      </c>
      <c r="C35" s="139" t="s">
        <v>780</v>
      </c>
      <c r="D35" s="139"/>
      <c r="E35" s="142">
        <v>2</v>
      </c>
      <c r="F35" s="149">
        <v>0.4</v>
      </c>
      <c r="AU35" s="136"/>
    </row>
    <row r="36" spans="1:47" ht="18" customHeight="1" x14ac:dyDescent="0.35">
      <c r="A36" s="162" t="s">
        <v>393</v>
      </c>
      <c r="B36" s="139" t="s">
        <v>919</v>
      </c>
      <c r="C36" s="139" t="s">
        <v>394</v>
      </c>
      <c r="D36" s="139"/>
      <c r="E36" s="142">
        <v>3</v>
      </c>
      <c r="F36" s="149">
        <v>0.36363636363636365</v>
      </c>
      <c r="AU36" s="136"/>
    </row>
    <row r="37" spans="1:47" ht="18" customHeight="1" x14ac:dyDescent="0.35">
      <c r="A37" s="162" t="s">
        <v>722</v>
      </c>
      <c r="B37" s="139" t="s">
        <v>919</v>
      </c>
      <c r="C37" s="139" t="s">
        <v>723</v>
      </c>
      <c r="D37" s="139"/>
      <c r="E37" s="142">
        <v>4</v>
      </c>
      <c r="F37" s="149">
        <v>0.35135135135135132</v>
      </c>
      <c r="AU37" s="136"/>
    </row>
    <row r="38" spans="1:47" ht="18" customHeight="1" x14ac:dyDescent="0.35">
      <c r="A38" s="162" t="s">
        <v>481</v>
      </c>
      <c r="B38" s="139" t="s">
        <v>918</v>
      </c>
      <c r="C38" s="139" t="s">
        <v>482</v>
      </c>
      <c r="D38" s="139"/>
      <c r="E38" s="142">
        <v>2</v>
      </c>
      <c r="F38" s="149">
        <v>0.3</v>
      </c>
      <c r="AU38" s="136"/>
    </row>
    <row r="39" spans="1:47" ht="18" customHeight="1" x14ac:dyDescent="0.35">
      <c r="A39" s="162" t="s">
        <v>479</v>
      </c>
      <c r="B39" s="139" t="s">
        <v>919</v>
      </c>
      <c r="C39" s="139" t="s">
        <v>480</v>
      </c>
      <c r="D39" s="139"/>
      <c r="E39" s="142">
        <v>4</v>
      </c>
      <c r="F39" s="149">
        <v>0.35</v>
      </c>
      <c r="AU39" s="136"/>
    </row>
    <row r="40" spans="1:47" ht="18" customHeight="1" x14ac:dyDescent="0.35">
      <c r="A40" s="141" t="s">
        <v>789</v>
      </c>
      <c r="B40" s="139" t="s">
        <v>919</v>
      </c>
      <c r="C40" s="139" t="s">
        <v>790</v>
      </c>
      <c r="D40" s="139"/>
      <c r="E40" s="152">
        <v>4</v>
      </c>
      <c r="F40" s="153">
        <v>0.3</v>
      </c>
      <c r="AU40" s="136"/>
    </row>
    <row r="41" spans="1:47" ht="18" customHeight="1" x14ac:dyDescent="0.35">
      <c r="A41" s="162" t="s">
        <v>887</v>
      </c>
      <c r="B41" s="139" t="s">
        <v>916</v>
      </c>
      <c r="C41" s="139" t="s">
        <v>888</v>
      </c>
      <c r="D41" s="139"/>
      <c r="E41" s="142">
        <v>4</v>
      </c>
      <c r="F41" s="149">
        <v>0.3</v>
      </c>
      <c r="AU41" s="136"/>
    </row>
    <row r="42" spans="1:47" ht="18" customHeight="1" x14ac:dyDescent="0.35">
      <c r="A42" s="162" t="s">
        <v>132</v>
      </c>
      <c r="B42" s="139" t="s">
        <v>918</v>
      </c>
      <c r="C42" s="139" t="s">
        <v>133</v>
      </c>
      <c r="D42" s="139"/>
      <c r="E42" s="142">
        <v>2</v>
      </c>
      <c r="F42" s="149">
        <v>0.18181818181818174</v>
      </c>
    </row>
    <row r="43" spans="1:47" ht="18" customHeight="1" x14ac:dyDescent="0.35">
      <c r="A43" s="162" t="s">
        <v>443</v>
      </c>
      <c r="B43" s="139" t="s">
        <v>918</v>
      </c>
      <c r="C43" s="139" t="s">
        <v>444</v>
      </c>
      <c r="D43" s="139"/>
      <c r="E43" s="142">
        <v>2</v>
      </c>
      <c r="F43" s="149">
        <v>0.1</v>
      </c>
    </row>
    <row r="44" spans="1:47" ht="18" customHeight="1" x14ac:dyDescent="0.35">
      <c r="A44" s="162" t="s">
        <v>84</v>
      </c>
      <c r="B44" s="139" t="s">
        <v>918</v>
      </c>
      <c r="C44" s="139" t="s">
        <v>85</v>
      </c>
      <c r="D44" s="139"/>
      <c r="E44" s="142">
        <v>2</v>
      </c>
      <c r="F44" s="149">
        <v>0.13636363636363641</v>
      </c>
    </row>
    <row r="45" spans="1:47" ht="18" customHeight="1" x14ac:dyDescent="0.35">
      <c r="A45" s="141" t="s">
        <v>20</v>
      </c>
      <c r="B45" s="139" t="s">
        <v>923</v>
      </c>
      <c r="C45" s="139" t="s">
        <v>21</v>
      </c>
      <c r="D45" s="139"/>
      <c r="E45" s="152">
        <v>2</v>
      </c>
      <c r="F45" s="153">
        <v>0.31818181818181829</v>
      </c>
    </row>
    <row r="46" spans="1:47" ht="18" customHeight="1" x14ac:dyDescent="0.35">
      <c r="A46" s="166" t="s">
        <v>293</v>
      </c>
      <c r="B46" s="145" t="s">
        <v>919</v>
      </c>
      <c r="C46" s="145" t="s">
        <v>294</v>
      </c>
      <c r="D46" s="145"/>
      <c r="E46" s="146">
        <v>2</v>
      </c>
      <c r="F46" s="169">
        <v>0.35</v>
      </c>
    </row>
    <row r="55" spans="45:46" ht="18" customHeight="1" x14ac:dyDescent="0.35">
      <c r="AS55" s="139"/>
      <c r="AT55" s="139"/>
    </row>
    <row r="76" spans="1:5" ht="18" customHeight="1" x14ac:dyDescent="0.35">
      <c r="A76" s="140"/>
      <c r="B76" s="140"/>
      <c r="C76" s="140"/>
      <c r="D76" s="140"/>
      <c r="E76" s="173"/>
    </row>
    <row r="77" spans="1:5" ht="18" customHeight="1" x14ac:dyDescent="0.35">
      <c r="A77" s="139"/>
      <c r="B77" s="139"/>
      <c r="C77" s="139"/>
      <c r="D77" s="139"/>
    </row>
    <row r="78" spans="1:5" ht="18" customHeight="1" x14ac:dyDescent="0.35">
      <c r="A78" s="139"/>
      <c r="B78" s="139"/>
      <c r="C78" s="139"/>
      <c r="D78" s="139"/>
    </row>
    <row r="79" spans="1:5" ht="18" customHeight="1" x14ac:dyDescent="0.35">
      <c r="A79" s="139"/>
      <c r="B79" s="139"/>
      <c r="C79" s="139"/>
      <c r="D79" s="139"/>
    </row>
    <row r="80" spans="1:5" ht="18" customHeight="1" x14ac:dyDescent="0.35">
      <c r="A80" s="139"/>
      <c r="B80" s="139"/>
      <c r="C80" s="139"/>
      <c r="D80" s="139"/>
    </row>
    <row r="81" spans="1:5" ht="18" customHeight="1" x14ac:dyDescent="0.35">
      <c r="A81" s="139"/>
      <c r="B81" s="139"/>
      <c r="C81" s="139"/>
      <c r="D81" s="139"/>
    </row>
    <row r="82" spans="1:5" ht="18" customHeight="1" x14ac:dyDescent="0.35">
      <c r="A82" s="139"/>
      <c r="B82" s="139"/>
      <c r="C82" s="139"/>
      <c r="D82" s="139"/>
    </row>
    <row r="83" spans="1:5" ht="18" customHeight="1" x14ac:dyDescent="0.35">
      <c r="A83" s="139"/>
      <c r="B83" s="139"/>
      <c r="C83" s="139"/>
      <c r="D83" s="139"/>
    </row>
    <row r="84" spans="1:5" ht="18" customHeight="1" x14ac:dyDescent="0.35">
      <c r="A84" s="174"/>
      <c r="B84" s="174"/>
      <c r="C84" s="174"/>
      <c r="D84" s="174"/>
    </row>
    <row r="85" spans="1:5" ht="18" customHeight="1" x14ac:dyDescent="0.35">
      <c r="A85" s="139"/>
      <c r="B85" s="139"/>
      <c r="C85" s="139"/>
      <c r="D85" s="139"/>
    </row>
    <row r="86" spans="1:5" ht="18" customHeight="1" x14ac:dyDescent="0.35">
      <c r="A86" s="139"/>
      <c r="B86" s="139"/>
      <c r="C86" s="139"/>
      <c r="D86" s="139"/>
    </row>
    <row r="87" spans="1:5" ht="18" customHeight="1" x14ac:dyDescent="0.35">
      <c r="A87" s="139"/>
      <c r="B87" s="139"/>
      <c r="C87" s="139"/>
      <c r="D87" s="139"/>
    </row>
    <row r="88" spans="1:5" ht="18" customHeight="1" x14ac:dyDescent="0.35">
      <c r="A88" s="140"/>
      <c r="B88" s="140"/>
      <c r="C88" s="140"/>
      <c r="D88" s="140"/>
      <c r="E88" s="173"/>
    </row>
    <row r="89" spans="1:5" ht="18" customHeight="1" x14ac:dyDescent="0.35">
      <c r="A89" s="139"/>
      <c r="B89" s="139"/>
      <c r="C89" s="139"/>
      <c r="D89" s="139"/>
    </row>
    <row r="93" spans="1:5" ht="18" customHeight="1" x14ac:dyDescent="0.35">
      <c r="A93" s="151"/>
      <c r="B93" s="151"/>
      <c r="C93" s="151"/>
      <c r="D93" s="151"/>
      <c r="E93" s="173"/>
    </row>
    <row r="101" spans="1:5" ht="18" customHeight="1" x14ac:dyDescent="0.35">
      <c r="A101" s="175"/>
      <c r="B101" s="175"/>
      <c r="C101" s="175"/>
      <c r="D101" s="175"/>
    </row>
    <row r="103" spans="1:5" ht="18" customHeight="1" x14ac:dyDescent="0.35">
      <c r="A103" s="175"/>
      <c r="B103" s="175"/>
      <c r="C103" s="175"/>
      <c r="D103" s="175"/>
    </row>
    <row r="108" spans="1:5" ht="18" customHeight="1" x14ac:dyDescent="0.35">
      <c r="A108" s="151"/>
      <c r="B108" s="151"/>
      <c r="C108" s="151"/>
      <c r="D108" s="151"/>
      <c r="E108" s="173"/>
    </row>
    <row r="118" spans="1:5" ht="18" customHeight="1" x14ac:dyDescent="0.35">
      <c r="A118" s="151"/>
      <c r="B118" s="151"/>
      <c r="C118" s="151"/>
      <c r="D118" s="151"/>
      <c r="E118" s="173"/>
    </row>
    <row r="122" spans="1:5" ht="18" customHeight="1" x14ac:dyDescent="0.35">
      <c r="A122" s="151"/>
      <c r="B122" s="151"/>
      <c r="C122" s="151"/>
      <c r="D122" s="151"/>
      <c r="E122" s="173"/>
    </row>
    <row r="132" spans="1:4" ht="18" customHeight="1" x14ac:dyDescent="0.35">
      <c r="A132" s="175"/>
      <c r="B132" s="175"/>
      <c r="C132" s="175"/>
      <c r="D132" s="175"/>
    </row>
    <row r="147" spans="1:5" ht="18" customHeight="1" x14ac:dyDescent="0.35">
      <c r="A147" s="151"/>
      <c r="B147" s="151"/>
      <c r="C147" s="151"/>
      <c r="D147" s="151"/>
      <c r="E147" s="173"/>
    </row>
    <row r="150" spans="1:5" ht="18" customHeight="1" x14ac:dyDescent="0.35">
      <c r="A150" s="147"/>
      <c r="B150" s="147"/>
      <c r="C150" s="147"/>
      <c r="D150" s="147"/>
      <c r="E150" s="176"/>
    </row>
    <row r="156" spans="1:5" ht="18" customHeight="1" x14ac:dyDescent="0.35">
      <c r="A156" s="147"/>
      <c r="B156" s="147"/>
      <c r="C156" s="147"/>
      <c r="D156" s="147"/>
      <c r="E156" s="176"/>
    </row>
    <row r="162" spans="1:5" ht="18" customHeight="1" x14ac:dyDescent="0.35">
      <c r="A162" s="151"/>
      <c r="B162" s="151"/>
      <c r="C162" s="151"/>
      <c r="D162" s="151"/>
      <c r="E162" s="173"/>
    </row>
    <row r="183" spans="1:5" ht="18" customHeight="1" x14ac:dyDescent="0.35">
      <c r="A183" s="151"/>
      <c r="B183" s="151"/>
      <c r="C183" s="151"/>
      <c r="D183" s="151"/>
      <c r="E183" s="173"/>
    </row>
    <row r="195" spans="1:4" ht="18" customHeight="1" x14ac:dyDescent="0.35">
      <c r="A195" s="175"/>
      <c r="B195" s="175"/>
      <c r="C195" s="175"/>
      <c r="D195" s="175"/>
    </row>
    <row r="215" spans="1:5" ht="18" customHeight="1" x14ac:dyDescent="0.35">
      <c r="A215" s="151"/>
      <c r="B215" s="151"/>
      <c r="C215" s="151"/>
      <c r="D215" s="151"/>
      <c r="E215" s="173"/>
    </row>
    <row r="217" spans="1:5" ht="18" customHeight="1" x14ac:dyDescent="0.35">
      <c r="A217" s="175"/>
      <c r="B217" s="175"/>
      <c r="C217" s="175"/>
      <c r="D217" s="175"/>
    </row>
    <row r="221" spans="1:5" ht="18" customHeight="1" x14ac:dyDescent="0.35">
      <c r="A221" s="151"/>
      <c r="B221" s="151"/>
      <c r="C221" s="151"/>
      <c r="D221" s="151"/>
      <c r="E221" s="173"/>
    </row>
    <row r="222" spans="1:5" ht="18" customHeight="1" x14ac:dyDescent="0.35">
      <c r="A222" s="175"/>
      <c r="B222" s="175"/>
      <c r="C222" s="175"/>
      <c r="D222" s="175"/>
    </row>
    <row r="223" spans="1:5" ht="18" customHeight="1" x14ac:dyDescent="0.35">
      <c r="A223" s="151"/>
      <c r="B223" s="151"/>
      <c r="C223" s="151"/>
      <c r="D223" s="151"/>
      <c r="E223" s="173"/>
    </row>
    <row r="241" spans="1:5" ht="18" customHeight="1" x14ac:dyDescent="0.35">
      <c r="A241" s="175"/>
      <c r="B241" s="175"/>
      <c r="C241" s="175"/>
      <c r="D241" s="175"/>
    </row>
    <row r="245" spans="1:5" ht="18" customHeight="1" x14ac:dyDescent="0.35">
      <c r="A245" s="151"/>
      <c r="B245" s="151"/>
      <c r="C245" s="151"/>
      <c r="D245" s="151"/>
      <c r="E245" s="173"/>
    </row>
    <row r="254" spans="1:5" ht="18" customHeight="1" x14ac:dyDescent="0.35">
      <c r="A254" s="151"/>
      <c r="B254" s="151"/>
      <c r="C254" s="151"/>
      <c r="D254" s="151"/>
      <c r="E254" s="173"/>
    </row>
    <row r="265" spans="1:4" ht="18" customHeight="1" x14ac:dyDescent="0.35">
      <c r="A265" s="175"/>
      <c r="B265" s="175"/>
      <c r="C265" s="175"/>
      <c r="D265" s="175"/>
    </row>
    <row r="267" spans="1:4" ht="18" customHeight="1" x14ac:dyDescent="0.35">
      <c r="A267" s="175"/>
      <c r="B267" s="175"/>
      <c r="C267" s="175"/>
      <c r="D267" s="175"/>
    </row>
    <row r="278" spans="1:5" ht="18" customHeight="1" x14ac:dyDescent="0.35">
      <c r="A278" s="151"/>
      <c r="B278" s="151"/>
      <c r="C278" s="151"/>
      <c r="D278" s="151"/>
      <c r="E278" s="173"/>
    </row>
    <row r="298" spans="1:5" ht="18" customHeight="1" x14ac:dyDescent="0.35">
      <c r="A298" s="151"/>
      <c r="B298" s="151"/>
      <c r="C298" s="151"/>
      <c r="D298" s="151"/>
      <c r="E298" s="173"/>
    </row>
    <row r="310" spans="1:5" ht="18" customHeight="1" x14ac:dyDescent="0.35">
      <c r="A310" s="151"/>
      <c r="B310" s="151"/>
      <c r="C310" s="151"/>
      <c r="D310" s="151"/>
      <c r="E310" s="173"/>
    </row>
    <row r="339" spans="1:5" ht="18" customHeight="1" x14ac:dyDescent="0.35">
      <c r="A339" s="175"/>
      <c r="B339" s="175"/>
      <c r="C339" s="175"/>
      <c r="D339" s="175"/>
    </row>
    <row r="340" spans="1:5" ht="18" customHeight="1" x14ac:dyDescent="0.35">
      <c r="A340" s="175"/>
      <c r="B340" s="175"/>
      <c r="C340" s="175"/>
      <c r="D340" s="175"/>
    </row>
    <row r="345" spans="1:5" ht="18" customHeight="1" x14ac:dyDescent="0.35">
      <c r="A345" s="151"/>
      <c r="B345" s="151"/>
      <c r="C345" s="151"/>
      <c r="D345" s="151"/>
      <c r="E345" s="173"/>
    </row>
    <row r="368" spans="1:5" ht="18" customHeight="1" x14ac:dyDescent="0.35">
      <c r="A368" s="151"/>
      <c r="B368" s="151"/>
      <c r="C368" s="151"/>
      <c r="D368" s="151"/>
      <c r="E368" s="173"/>
    </row>
    <row r="375" spans="1:5" ht="18" customHeight="1" x14ac:dyDescent="0.35">
      <c r="A375" s="151"/>
      <c r="B375" s="151"/>
      <c r="C375" s="151"/>
      <c r="D375" s="151"/>
      <c r="E375" s="173"/>
    </row>
    <row r="399" spans="5:5" ht="18" customHeight="1" x14ac:dyDescent="0.35">
      <c r="E399" s="142"/>
    </row>
    <row r="400" spans="5:5" ht="18" customHeight="1" x14ac:dyDescent="0.35">
      <c r="E400" s="142"/>
    </row>
    <row r="401" spans="5:5" ht="18" customHeight="1" x14ac:dyDescent="0.35">
      <c r="E401" s="142"/>
    </row>
    <row r="402" spans="5:5" ht="18" customHeight="1" x14ac:dyDescent="0.35">
      <c r="E402" s="142"/>
    </row>
    <row r="403" spans="5:5" ht="18" customHeight="1" x14ac:dyDescent="0.35">
      <c r="E403" s="142"/>
    </row>
  </sheetData>
  <mergeCells count="7">
    <mergeCell ref="AK1:AQ1"/>
    <mergeCell ref="AS1:AY1"/>
    <mergeCell ref="A1:F1"/>
    <mergeCell ref="H1:M1"/>
    <mergeCell ref="O1:U1"/>
    <mergeCell ref="W1:AB1"/>
    <mergeCell ref="AD1:AI1"/>
  </mergeCells>
  <conditionalFormatting sqref="AW3:AW10 L3:L7 S5 S8 S10 S12 E3:E46 L9:L34 S15:S16 S21:S26 AA3:AA9 AH3:AH23 AO3:AO4 AO7:AO33 AW12:AW21">
    <cfRule type="colorScale" priority="11">
      <colorScale>
        <cfvo type="num" val="0"/>
        <cfvo type="num" val="1"/>
        <cfvo type="num" val="4"/>
        <color rgb="FF63BE7B"/>
        <color rgb="FFFFEB84"/>
        <color rgb="FFF8696B"/>
      </colorScale>
    </cfRule>
  </conditionalFormatting>
  <conditionalFormatting sqref="AX3:AX10 M3:M7 T5 T8 T10 T12 F3:F46 M9:M34 T15:T16 T21:T26 AB3:AB9 AI3:AI23 AP3:AP4 AP7:AP33 AX12:AX21">
    <cfRule type="cellIs" dxfId="12" priority="9" operator="between">
      <formula>0.5</formula>
      <formula>1</formula>
    </cfRule>
    <cfRule type="cellIs" dxfId="11" priority="10" operator="between">
      <formula>-1</formula>
      <formula>0.499999</formula>
    </cfRule>
  </conditionalFormatting>
  <conditionalFormatting sqref="AY3:AY10 U5 U8 U10 U12 U15:U16 U21:U26 AQ3:AQ4 AQ7:AQ33 AY12:AY21">
    <cfRule type="cellIs" dxfId="10" priority="7" operator="lessThan">
      <formula>51</formula>
    </cfRule>
    <cfRule type="cellIs" dxfId="9" priority="8" operator="greaterThanOrEqual">
      <formula>51</formula>
    </cfRule>
  </conditionalFormatting>
  <conditionalFormatting sqref="AW11">
    <cfRule type="colorScale" priority="6">
      <colorScale>
        <cfvo type="num" val="0"/>
        <cfvo type="num" val="1"/>
        <cfvo type="num" val="4"/>
        <color rgb="FF63BE7B"/>
        <color rgb="FFFFEB84"/>
        <color rgb="FFF8696B"/>
      </colorScale>
    </cfRule>
  </conditionalFormatting>
  <conditionalFormatting sqref="AX11">
    <cfRule type="cellIs" dxfId="8" priority="4" operator="between">
      <formula>0.5</formula>
      <formula>1</formula>
    </cfRule>
    <cfRule type="cellIs" dxfId="7" priority="5" operator="between">
      <formula>-1</formula>
      <formula>0.499999</formula>
    </cfRule>
  </conditionalFormatting>
  <conditionalFormatting sqref="AY11">
    <cfRule type="cellIs" dxfId="6" priority="2" operator="lessThan">
      <formula>51</formula>
    </cfRule>
    <cfRule type="cellIs" dxfId="5" priority="3" operator="greaterThanOrEqual">
      <formula>51</formula>
    </cfRule>
  </conditionalFormatting>
  <conditionalFormatting sqref="U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41"/>
  <sheetViews>
    <sheetView topLeftCell="C1" zoomScale="60" zoomScaleNormal="60" workbookViewId="0">
      <selection activeCell="H42" sqref="H42"/>
    </sheetView>
  </sheetViews>
  <sheetFormatPr defaultColWidth="27.453125" defaultRowHeight="23" x14ac:dyDescent="0.35"/>
  <cols>
    <col min="1" max="3" width="27.453125" style="371"/>
    <col min="4" max="4" width="32.453125" style="371" customWidth="1"/>
    <col min="5" max="5" width="27.453125" style="371"/>
    <col min="6" max="6" width="27.453125" style="372"/>
    <col min="7" max="9" width="14.1796875" style="283" customWidth="1"/>
    <col min="10" max="12" width="14.1796875" style="373" customWidth="1"/>
    <col min="13" max="14" width="15.54296875" style="370" customWidth="1"/>
    <col min="15" max="24" width="27.453125" style="358"/>
    <col min="25" max="16384" width="27.453125" style="283"/>
  </cols>
  <sheetData>
    <row r="1" spans="1:24" s="354" customFormat="1" ht="50.25" customHeight="1" x14ac:dyDescent="0.35">
      <c r="A1" s="351" t="s">
        <v>899</v>
      </c>
      <c r="B1" s="352"/>
      <c r="C1" s="352"/>
      <c r="D1" s="352"/>
      <c r="E1" s="352"/>
      <c r="F1" s="353"/>
      <c r="G1" s="653" t="s">
        <v>989</v>
      </c>
      <c r="H1" s="654"/>
      <c r="I1" s="655"/>
      <c r="J1" s="653" t="s">
        <v>1816</v>
      </c>
      <c r="K1" s="654"/>
      <c r="L1" s="655"/>
      <c r="M1" s="656" t="s">
        <v>1965</v>
      </c>
      <c r="N1" s="657"/>
      <c r="P1" s="355"/>
      <c r="Q1" s="355"/>
      <c r="R1" s="355"/>
      <c r="S1" s="355"/>
      <c r="T1" s="355"/>
      <c r="U1" s="355"/>
      <c r="V1" s="355"/>
      <c r="W1" s="355"/>
      <c r="X1" s="355"/>
    </row>
    <row r="2" spans="1:24" ht="37.5" customHeight="1" x14ac:dyDescent="0.35">
      <c r="A2" s="356" t="s">
        <v>1</v>
      </c>
      <c r="B2" s="357" t="s">
        <v>2</v>
      </c>
      <c r="C2" s="374" t="s">
        <v>3</v>
      </c>
      <c r="D2" s="374" t="s">
        <v>913</v>
      </c>
      <c r="E2" s="374" t="s">
        <v>4</v>
      </c>
      <c r="F2" s="375" t="s">
        <v>5</v>
      </c>
      <c r="G2" s="376" t="s">
        <v>990</v>
      </c>
      <c r="H2" s="376" t="s">
        <v>991</v>
      </c>
      <c r="I2" s="376" t="s">
        <v>992</v>
      </c>
      <c r="J2" s="377" t="s">
        <v>990</v>
      </c>
      <c r="K2" s="376" t="s">
        <v>991</v>
      </c>
      <c r="L2" s="378" t="s">
        <v>1958</v>
      </c>
      <c r="M2" s="379" t="s">
        <v>1960</v>
      </c>
      <c r="N2" s="380" t="s">
        <v>1959</v>
      </c>
      <c r="O2" s="313"/>
    </row>
    <row r="3" spans="1:24" ht="29.25" customHeight="1" x14ac:dyDescent="0.5">
      <c r="A3" s="359" t="s">
        <v>414</v>
      </c>
      <c r="B3" s="360" t="s">
        <v>74</v>
      </c>
      <c r="C3" s="381" t="s">
        <v>457</v>
      </c>
      <c r="D3" s="382" t="s">
        <v>919</v>
      </c>
      <c r="E3" s="383" t="s">
        <v>458</v>
      </c>
      <c r="F3" s="399"/>
      <c r="G3" s="388">
        <v>2</v>
      </c>
      <c r="H3" s="387">
        <v>4</v>
      </c>
      <c r="I3" s="389">
        <v>4</v>
      </c>
      <c r="J3" s="384">
        <v>0.6</v>
      </c>
      <c r="K3" s="385">
        <v>0.61111111111111105</v>
      </c>
      <c r="L3" s="386">
        <v>0.625</v>
      </c>
      <c r="M3" s="489">
        <v>32.410225197808863</v>
      </c>
      <c r="N3" s="490">
        <v>3.9594536743251574</v>
      </c>
      <c r="P3" s="314"/>
      <c r="R3" s="361"/>
      <c r="S3" s="361"/>
      <c r="T3" s="361"/>
    </row>
    <row r="4" spans="1:24" ht="19.399999999999999" customHeight="1" x14ac:dyDescent="0.35">
      <c r="A4" s="359" t="s">
        <v>414</v>
      </c>
      <c r="B4" s="360" t="s">
        <v>149</v>
      </c>
      <c r="C4" s="381" t="s">
        <v>507</v>
      </c>
      <c r="D4" s="382" t="s">
        <v>919</v>
      </c>
      <c r="E4" s="383" t="s">
        <v>508</v>
      </c>
      <c r="F4" s="399"/>
      <c r="G4" s="388">
        <v>4</v>
      </c>
      <c r="H4" s="387">
        <v>4</v>
      </c>
      <c r="I4" s="389">
        <v>4</v>
      </c>
      <c r="J4" s="384">
        <v>0.52631578947368429</v>
      </c>
      <c r="K4" s="385">
        <v>0.5</v>
      </c>
      <c r="L4" s="386">
        <v>0.5</v>
      </c>
      <c r="M4" s="491">
        <v>4.7353760445682509</v>
      </c>
      <c r="N4" s="491">
        <v>1.1817940632644248</v>
      </c>
      <c r="P4" s="313"/>
      <c r="R4" s="361"/>
      <c r="S4" s="361"/>
      <c r="T4" s="361"/>
      <c r="X4" s="362"/>
    </row>
    <row r="5" spans="1:24" ht="19.399999999999999" customHeight="1" x14ac:dyDescent="0.5">
      <c r="A5" s="359" t="s">
        <v>736</v>
      </c>
      <c r="B5" s="360" t="s">
        <v>83</v>
      </c>
      <c r="C5" s="381" t="s">
        <v>785</v>
      </c>
      <c r="D5" s="382" t="s">
        <v>919</v>
      </c>
      <c r="E5" s="383" t="s">
        <v>786</v>
      </c>
      <c r="F5" s="399"/>
      <c r="G5" s="388">
        <v>0</v>
      </c>
      <c r="H5" s="387">
        <v>2</v>
      </c>
      <c r="I5" s="389">
        <v>4</v>
      </c>
      <c r="J5" s="384">
        <v>0.75</v>
      </c>
      <c r="K5" s="385">
        <v>0.72222222222222232</v>
      </c>
      <c r="L5" s="386">
        <v>0.75</v>
      </c>
      <c r="M5" s="489">
        <v>46.774193548387082</v>
      </c>
      <c r="N5" s="490">
        <v>12.222661342482013</v>
      </c>
      <c r="P5" s="313"/>
      <c r="R5" s="361"/>
      <c r="S5" s="361"/>
      <c r="T5" s="361"/>
      <c r="X5" s="363"/>
    </row>
    <row r="6" spans="1:24" ht="19.399999999999999" customHeight="1" x14ac:dyDescent="0.35">
      <c r="A6" s="359" t="s">
        <v>736</v>
      </c>
      <c r="B6" s="360" t="s">
        <v>209</v>
      </c>
      <c r="C6" s="381" t="s">
        <v>869</v>
      </c>
      <c r="D6" s="382" t="s">
        <v>919</v>
      </c>
      <c r="E6" s="383" t="s">
        <v>870</v>
      </c>
      <c r="F6" s="399"/>
      <c r="G6" s="388">
        <v>1</v>
      </c>
      <c r="H6" s="387">
        <v>4</v>
      </c>
      <c r="I6" s="389">
        <v>4</v>
      </c>
      <c r="J6" s="384">
        <v>0</v>
      </c>
      <c r="K6" s="385">
        <v>0.1891891891891892</v>
      </c>
      <c r="L6" s="386">
        <v>0.69696969696969691</v>
      </c>
      <c r="M6" s="491">
        <v>20.668523676880227</v>
      </c>
      <c r="N6" s="491">
        <v>7.0119781087022526</v>
      </c>
      <c r="O6" s="283"/>
      <c r="P6" s="283"/>
      <c r="Q6" s="283"/>
    </row>
    <row r="7" spans="1:24" ht="19.399999999999999" customHeight="1" x14ac:dyDescent="0.35">
      <c r="A7" s="359" t="s">
        <v>251</v>
      </c>
      <c r="B7" s="360" t="s">
        <v>242</v>
      </c>
      <c r="C7" s="381" t="s">
        <v>408</v>
      </c>
      <c r="D7" s="382" t="s">
        <v>918</v>
      </c>
      <c r="E7" s="383" t="s">
        <v>409</v>
      </c>
      <c r="F7" s="399"/>
      <c r="G7" s="388">
        <v>2</v>
      </c>
      <c r="H7" s="387">
        <v>4</v>
      </c>
      <c r="I7" s="389">
        <v>4</v>
      </c>
      <c r="J7" s="384">
        <v>0.95454545454545459</v>
      </c>
      <c r="K7" s="385">
        <v>0.85</v>
      </c>
      <c r="L7" s="386">
        <v>1</v>
      </c>
      <c r="M7" s="491">
        <v>29.461199443180117</v>
      </c>
      <c r="N7" s="491">
        <v>1.7298514589816774</v>
      </c>
      <c r="O7" s="283"/>
      <c r="P7" s="283"/>
      <c r="Q7" s="283"/>
    </row>
    <row r="8" spans="1:24" ht="19.399999999999999" customHeight="1" x14ac:dyDescent="0.35">
      <c r="A8" s="364" t="s">
        <v>575</v>
      </c>
      <c r="B8" s="365" t="s">
        <v>56</v>
      </c>
      <c r="C8" s="387" t="s">
        <v>606</v>
      </c>
      <c r="D8" s="382" t="s">
        <v>918</v>
      </c>
      <c r="E8" s="383" t="s">
        <v>607</v>
      </c>
      <c r="F8" s="399"/>
      <c r="G8" s="388">
        <v>0</v>
      </c>
      <c r="H8" s="387">
        <v>2</v>
      </c>
      <c r="I8" s="389">
        <v>4</v>
      </c>
      <c r="J8" s="384">
        <v>0.6</v>
      </c>
      <c r="K8" s="385">
        <v>0.78378378378378388</v>
      </c>
      <c r="L8" s="386">
        <v>0.93939393939393934</v>
      </c>
      <c r="M8" s="491">
        <v>19.210268556247851</v>
      </c>
      <c r="N8" s="491">
        <v>11.833605690840699</v>
      </c>
      <c r="O8" s="283"/>
      <c r="P8" s="283"/>
      <c r="Q8" s="283"/>
    </row>
    <row r="9" spans="1:24" ht="19.399999999999999" customHeight="1" x14ac:dyDescent="0.35">
      <c r="A9" s="359" t="s">
        <v>575</v>
      </c>
      <c r="B9" s="360" t="s">
        <v>86</v>
      </c>
      <c r="C9" s="381" t="s">
        <v>626</v>
      </c>
      <c r="D9" s="382" t="s">
        <v>918</v>
      </c>
      <c r="E9" s="383" t="s">
        <v>627</v>
      </c>
      <c r="F9" s="399"/>
      <c r="G9" s="388">
        <v>2</v>
      </c>
      <c r="H9" s="387">
        <v>3</v>
      </c>
      <c r="I9" s="389">
        <v>3</v>
      </c>
      <c r="J9" s="384">
        <v>0.44999999999999996</v>
      </c>
      <c r="K9" s="385">
        <v>0.56756756756756754</v>
      </c>
      <c r="L9" s="386">
        <v>0.51515151515151514</v>
      </c>
      <c r="M9" s="491">
        <v>4.5462804707815074</v>
      </c>
      <c r="N9" s="491">
        <v>8.1806273278960759</v>
      </c>
      <c r="O9" s="283"/>
      <c r="P9" s="283"/>
      <c r="Q9" s="283"/>
    </row>
    <row r="10" spans="1:24" ht="19.399999999999999" customHeight="1" x14ac:dyDescent="0.35">
      <c r="A10" s="364" t="s">
        <v>575</v>
      </c>
      <c r="B10" s="365" t="s">
        <v>128</v>
      </c>
      <c r="C10" s="387" t="s">
        <v>654</v>
      </c>
      <c r="D10" s="382" t="s">
        <v>918</v>
      </c>
      <c r="E10" s="383" t="s">
        <v>655</v>
      </c>
      <c r="F10" s="399"/>
      <c r="G10" s="388">
        <v>2</v>
      </c>
      <c r="H10" s="387">
        <v>4</v>
      </c>
      <c r="I10" s="389">
        <v>4</v>
      </c>
      <c r="J10" s="384">
        <v>0.8</v>
      </c>
      <c r="K10" s="385">
        <v>0.94594594594594594</v>
      </c>
      <c r="L10" s="386">
        <v>1</v>
      </c>
      <c r="M10" s="491">
        <v>3.6663539026807213</v>
      </c>
      <c r="N10" s="491">
        <v>3.9981975368440703</v>
      </c>
      <c r="O10" s="283"/>
      <c r="P10" s="283"/>
      <c r="Q10" s="283"/>
    </row>
    <row r="11" spans="1:24" ht="19.399999999999999" customHeight="1" x14ac:dyDescent="0.35">
      <c r="A11" s="359" t="s">
        <v>575</v>
      </c>
      <c r="B11" s="360" t="s">
        <v>131</v>
      </c>
      <c r="C11" s="381" t="s">
        <v>656</v>
      </c>
      <c r="D11" s="382" t="s">
        <v>918</v>
      </c>
      <c r="E11" s="383" t="s">
        <v>657</v>
      </c>
      <c r="F11" s="399"/>
      <c r="G11" s="388">
        <v>4</v>
      </c>
      <c r="H11" s="387">
        <v>4</v>
      </c>
      <c r="I11" s="389">
        <v>4</v>
      </c>
      <c r="J11" s="384">
        <v>0.56756756756756754</v>
      </c>
      <c r="K11" s="385">
        <v>0.77777777777777768</v>
      </c>
      <c r="L11" s="386">
        <v>0.75</v>
      </c>
      <c r="M11" s="489">
        <v>41.052951917224576</v>
      </c>
      <c r="N11" s="490">
        <v>19.45296805211931</v>
      </c>
      <c r="O11" s="283"/>
      <c r="P11" s="283"/>
      <c r="Q11" s="283"/>
    </row>
    <row r="12" spans="1:24" ht="19.399999999999999" customHeight="1" x14ac:dyDescent="0.35">
      <c r="A12" s="364" t="s">
        <v>575</v>
      </c>
      <c r="B12" s="365" t="s">
        <v>224</v>
      </c>
      <c r="C12" s="387" t="s">
        <v>718</v>
      </c>
      <c r="D12" s="382" t="s">
        <v>918</v>
      </c>
      <c r="E12" s="383" t="s">
        <v>719</v>
      </c>
      <c r="F12" s="399"/>
      <c r="G12" s="388">
        <v>2</v>
      </c>
      <c r="H12" s="387">
        <v>4</v>
      </c>
      <c r="I12" s="389">
        <v>4</v>
      </c>
      <c r="J12" s="384">
        <v>0.72972972972972971</v>
      </c>
      <c r="K12" s="385">
        <v>0.77777777777777768</v>
      </c>
      <c r="L12" s="386">
        <v>0.9375</v>
      </c>
      <c r="M12" s="491">
        <v>7.6982970235486459</v>
      </c>
      <c r="N12" s="491">
        <v>8.7180386968552845</v>
      </c>
      <c r="O12" s="283"/>
      <c r="P12" s="283"/>
      <c r="Q12" s="283"/>
    </row>
    <row r="13" spans="1:24" ht="19.399999999999999" customHeight="1" x14ac:dyDescent="0.35">
      <c r="A13" s="364" t="s">
        <v>9</v>
      </c>
      <c r="B13" s="365" t="s">
        <v>19</v>
      </c>
      <c r="C13" s="387" t="s">
        <v>20</v>
      </c>
      <c r="D13" s="382" t="s">
        <v>993</v>
      </c>
      <c r="E13" s="383" t="s">
        <v>21</v>
      </c>
      <c r="F13" s="399" t="s">
        <v>22</v>
      </c>
      <c r="G13" s="388">
        <v>2</v>
      </c>
      <c r="H13" s="387">
        <v>4</v>
      </c>
      <c r="I13" s="389">
        <v>4</v>
      </c>
      <c r="J13" s="384">
        <v>0.31818181818181829</v>
      </c>
      <c r="K13" s="385">
        <v>0.8</v>
      </c>
      <c r="L13" s="386">
        <v>0.94545454545454544</v>
      </c>
      <c r="M13" s="491">
        <v>7.2266870356711905</v>
      </c>
      <c r="N13" s="491">
        <v>3.6910076203581874</v>
      </c>
      <c r="O13" s="283"/>
      <c r="P13" s="283"/>
      <c r="Q13" s="283"/>
    </row>
    <row r="14" spans="1:24" ht="19.399999999999999" customHeight="1" x14ac:dyDescent="0.35">
      <c r="A14" s="364" t="s">
        <v>251</v>
      </c>
      <c r="B14" s="365" t="s">
        <v>53</v>
      </c>
      <c r="C14" s="387" t="s">
        <v>280</v>
      </c>
      <c r="D14" s="382" t="s">
        <v>993</v>
      </c>
      <c r="E14" s="383" t="s">
        <v>281</v>
      </c>
      <c r="F14" s="399" t="s">
        <v>282</v>
      </c>
      <c r="G14" s="388">
        <v>4</v>
      </c>
      <c r="H14" s="387">
        <v>4</v>
      </c>
      <c r="I14" s="389">
        <v>4</v>
      </c>
      <c r="J14" s="384">
        <v>1</v>
      </c>
      <c r="K14" s="385">
        <v>1</v>
      </c>
      <c r="L14" s="386">
        <v>1</v>
      </c>
      <c r="M14" s="492">
        <v>16.589439773976157</v>
      </c>
      <c r="N14" s="491">
        <v>0.22407407633284246</v>
      </c>
      <c r="O14" s="283"/>
      <c r="P14" s="283"/>
      <c r="Q14" s="283"/>
    </row>
    <row r="15" spans="1:24" ht="19.399999999999999" customHeight="1" x14ac:dyDescent="0.35">
      <c r="A15" s="359" t="s">
        <v>251</v>
      </c>
      <c r="B15" s="360" t="s">
        <v>224</v>
      </c>
      <c r="C15" s="381" t="s">
        <v>395</v>
      </c>
      <c r="D15" s="382" t="s">
        <v>993</v>
      </c>
      <c r="E15" s="383" t="s">
        <v>396</v>
      </c>
      <c r="F15" s="399" t="s">
        <v>397</v>
      </c>
      <c r="G15" s="388">
        <v>4</v>
      </c>
      <c r="H15" s="387">
        <v>4</v>
      </c>
      <c r="I15" s="389">
        <v>4</v>
      </c>
      <c r="J15" s="384">
        <v>0.95454545454545459</v>
      </c>
      <c r="K15" s="385">
        <v>1</v>
      </c>
      <c r="L15" s="386">
        <v>1</v>
      </c>
      <c r="M15" s="491">
        <v>-0.13881692022203773</v>
      </c>
      <c r="N15" s="491">
        <v>1.683435418541013</v>
      </c>
      <c r="O15" s="283"/>
      <c r="P15" s="283"/>
      <c r="Q15" s="283"/>
    </row>
    <row r="16" spans="1:24" ht="19.399999999999999" customHeight="1" x14ac:dyDescent="0.35">
      <c r="A16" s="364" t="s">
        <v>251</v>
      </c>
      <c r="B16" s="365" t="s">
        <v>38</v>
      </c>
      <c r="C16" s="387" t="s">
        <v>270</v>
      </c>
      <c r="D16" s="616" t="s">
        <v>915</v>
      </c>
      <c r="E16" s="383" t="s">
        <v>271</v>
      </c>
      <c r="F16" s="399"/>
      <c r="G16" s="388">
        <v>4</v>
      </c>
      <c r="H16" s="387">
        <v>4</v>
      </c>
      <c r="I16" s="389">
        <v>4</v>
      </c>
      <c r="J16" s="384">
        <v>1</v>
      </c>
      <c r="K16" s="385">
        <v>1</v>
      </c>
      <c r="L16" s="386">
        <v>1</v>
      </c>
      <c r="M16" s="491">
        <v>-7.9569400263903507</v>
      </c>
      <c r="N16" s="491">
        <v>2.4939671903640717</v>
      </c>
      <c r="O16" s="283"/>
      <c r="P16" s="283"/>
      <c r="Q16" s="283"/>
    </row>
    <row r="17" spans="1:17" ht="19.399999999999999" customHeight="1" x14ac:dyDescent="0.35">
      <c r="A17" s="364" t="s">
        <v>251</v>
      </c>
      <c r="B17" s="365" t="s">
        <v>98</v>
      </c>
      <c r="C17" s="387" t="s">
        <v>311</v>
      </c>
      <c r="D17" s="616" t="s">
        <v>915</v>
      </c>
      <c r="E17" s="383" t="s">
        <v>312</v>
      </c>
      <c r="F17" s="399"/>
      <c r="G17" s="388">
        <v>4</v>
      </c>
      <c r="H17" s="387">
        <v>4</v>
      </c>
      <c r="I17" s="389">
        <v>4</v>
      </c>
      <c r="J17" s="384">
        <v>1</v>
      </c>
      <c r="K17" s="385">
        <v>1</v>
      </c>
      <c r="L17" s="386">
        <v>1</v>
      </c>
      <c r="M17" s="491">
        <v>-5.8286822877196869</v>
      </c>
      <c r="N17" s="491">
        <v>4.9234391643147513</v>
      </c>
      <c r="O17" s="283"/>
      <c r="P17" s="283"/>
      <c r="Q17" s="283"/>
    </row>
    <row r="18" spans="1:17" ht="19.399999999999999" customHeight="1" x14ac:dyDescent="0.35">
      <c r="A18" s="364" t="s">
        <v>251</v>
      </c>
      <c r="B18" s="365" t="s">
        <v>128</v>
      </c>
      <c r="C18" s="387" t="s">
        <v>331</v>
      </c>
      <c r="D18" s="616" t="s">
        <v>915</v>
      </c>
      <c r="E18" s="383" t="s">
        <v>332</v>
      </c>
      <c r="F18" s="399"/>
      <c r="G18" s="388">
        <v>4</v>
      </c>
      <c r="H18" s="387">
        <v>4</v>
      </c>
      <c r="I18" s="389">
        <v>4</v>
      </c>
      <c r="J18" s="384">
        <v>1</v>
      </c>
      <c r="K18" s="385">
        <v>1</v>
      </c>
      <c r="L18" s="386">
        <v>1</v>
      </c>
      <c r="M18" s="491">
        <v>-3.3953805593498441</v>
      </c>
      <c r="N18" s="491">
        <v>3.7219355954981732</v>
      </c>
      <c r="O18" s="283"/>
      <c r="P18" s="283"/>
      <c r="Q18" s="283"/>
    </row>
    <row r="19" spans="1:17" ht="19.399999999999999" customHeight="1" x14ac:dyDescent="0.35">
      <c r="A19" s="364" t="s">
        <v>251</v>
      </c>
      <c r="B19" s="365" t="s">
        <v>215</v>
      </c>
      <c r="C19" s="387" t="s">
        <v>389</v>
      </c>
      <c r="D19" s="616" t="s">
        <v>915</v>
      </c>
      <c r="E19" s="383" t="s">
        <v>390</v>
      </c>
      <c r="F19" s="399"/>
      <c r="G19" s="388">
        <v>3</v>
      </c>
      <c r="H19" s="387">
        <v>4</v>
      </c>
      <c r="I19" s="389">
        <v>4</v>
      </c>
      <c r="J19" s="384">
        <v>1</v>
      </c>
      <c r="K19" s="385">
        <v>1</v>
      </c>
      <c r="L19" s="386">
        <v>1</v>
      </c>
      <c r="M19" s="492">
        <v>6.433975848314752</v>
      </c>
      <c r="N19" s="491">
        <v>3.2593548751198669</v>
      </c>
      <c r="O19" s="283"/>
      <c r="P19" s="283"/>
      <c r="Q19" s="283"/>
    </row>
    <row r="20" spans="1:17" ht="19.399999999999999" customHeight="1" x14ac:dyDescent="0.35">
      <c r="A20" s="364" t="s">
        <v>575</v>
      </c>
      <c r="B20" s="365" t="s">
        <v>29</v>
      </c>
      <c r="C20" s="387" t="s">
        <v>588</v>
      </c>
      <c r="D20" s="616" t="s">
        <v>915</v>
      </c>
      <c r="E20" s="383" t="s">
        <v>589</v>
      </c>
      <c r="F20" s="399"/>
      <c r="G20" s="388">
        <v>0</v>
      </c>
      <c r="H20" s="387">
        <v>0</v>
      </c>
      <c r="I20" s="389">
        <v>2</v>
      </c>
      <c r="J20" s="384">
        <v>0.6</v>
      </c>
      <c r="K20" s="385">
        <v>1</v>
      </c>
      <c r="L20" s="386">
        <v>1</v>
      </c>
      <c r="M20" s="491">
        <v>3.0639790308775834</v>
      </c>
      <c r="N20" s="491">
        <v>8.4762410732986595</v>
      </c>
      <c r="O20" s="283"/>
      <c r="P20" s="283"/>
      <c r="Q20" s="283"/>
    </row>
    <row r="21" spans="1:17" ht="19.399999999999999" customHeight="1" x14ac:dyDescent="0.35">
      <c r="A21" s="359" t="s">
        <v>251</v>
      </c>
      <c r="B21" s="360" t="s">
        <v>170</v>
      </c>
      <c r="C21" s="381" t="s">
        <v>359</v>
      </c>
      <c r="D21" s="382" t="s">
        <v>921</v>
      </c>
      <c r="E21" s="383" t="s">
        <v>360</v>
      </c>
      <c r="F21" s="399" t="s">
        <v>922</v>
      </c>
      <c r="G21" s="388">
        <v>2</v>
      </c>
      <c r="H21" s="387">
        <v>4</v>
      </c>
      <c r="I21" s="389">
        <v>4</v>
      </c>
      <c r="J21" s="384">
        <v>0.9</v>
      </c>
      <c r="K21" s="385">
        <v>1</v>
      </c>
      <c r="L21" s="386">
        <v>1</v>
      </c>
      <c r="M21" s="489">
        <v>46.591600730371269</v>
      </c>
      <c r="N21" s="490">
        <v>30.38450319645175</v>
      </c>
      <c r="O21" s="283"/>
      <c r="P21" s="283"/>
      <c r="Q21" s="283"/>
    </row>
    <row r="22" spans="1:17" ht="19.399999999999999" customHeight="1" x14ac:dyDescent="0.35">
      <c r="A22" s="364" t="s">
        <v>9</v>
      </c>
      <c r="B22" s="365" t="s">
        <v>65</v>
      </c>
      <c r="C22" s="387" t="s">
        <v>66</v>
      </c>
      <c r="D22" s="382" t="s">
        <v>916</v>
      </c>
      <c r="E22" s="383" t="s">
        <v>67</v>
      </c>
      <c r="F22" s="399"/>
      <c r="G22" s="388">
        <v>0</v>
      </c>
      <c r="H22" s="387">
        <v>4</v>
      </c>
      <c r="I22" s="389">
        <v>4</v>
      </c>
      <c r="J22" s="384">
        <v>9.0909090909090939E-2</v>
      </c>
      <c r="K22" s="385">
        <v>0.25</v>
      </c>
      <c r="L22" s="386">
        <v>0.94545454545454544</v>
      </c>
      <c r="M22" s="491">
        <v>-9.9835436950806073</v>
      </c>
      <c r="N22" s="491">
        <v>3.7393138124899865</v>
      </c>
      <c r="O22" s="283"/>
      <c r="P22" s="283"/>
      <c r="Q22" s="283"/>
    </row>
    <row r="23" spans="1:17" ht="19.399999999999999" customHeight="1" x14ac:dyDescent="0.35">
      <c r="A23" s="364" t="s">
        <v>9</v>
      </c>
      <c r="B23" s="365" t="s">
        <v>68</v>
      </c>
      <c r="C23" s="387" t="s">
        <v>69</v>
      </c>
      <c r="D23" s="382" t="s">
        <v>916</v>
      </c>
      <c r="E23" s="383" t="s">
        <v>70</v>
      </c>
      <c r="F23" s="399"/>
      <c r="G23" s="388">
        <v>0</v>
      </c>
      <c r="H23" s="387">
        <v>1</v>
      </c>
      <c r="I23" s="389">
        <v>3</v>
      </c>
      <c r="J23" s="384">
        <v>0.27272727272727265</v>
      </c>
      <c r="K23" s="385">
        <v>0.95</v>
      </c>
      <c r="L23" s="386">
        <v>1</v>
      </c>
      <c r="M23" s="491">
        <v>-1.1284661539227101</v>
      </c>
      <c r="N23" s="491">
        <v>3.939661287022985</v>
      </c>
      <c r="O23" s="283"/>
      <c r="P23" s="283"/>
      <c r="Q23" s="283"/>
    </row>
    <row r="24" spans="1:17" ht="19.399999999999999" customHeight="1" x14ac:dyDescent="0.35">
      <c r="A24" s="359" t="s">
        <v>9</v>
      </c>
      <c r="B24" s="360" t="s">
        <v>107</v>
      </c>
      <c r="C24" s="381" t="s">
        <v>108</v>
      </c>
      <c r="D24" s="382" t="s">
        <v>916</v>
      </c>
      <c r="E24" s="383" t="s">
        <v>109</v>
      </c>
      <c r="F24" s="399"/>
      <c r="G24" s="388">
        <v>1</v>
      </c>
      <c r="H24" s="387">
        <v>4</v>
      </c>
      <c r="I24" s="389">
        <v>4</v>
      </c>
      <c r="J24" s="384">
        <v>0.27272727272727265</v>
      </c>
      <c r="K24" s="385">
        <v>0.65</v>
      </c>
      <c r="L24" s="386">
        <v>0.67272727272727328</v>
      </c>
      <c r="M24" s="491">
        <v>12.879065650150434</v>
      </c>
      <c r="N24" s="491">
        <v>10.078892538423753</v>
      </c>
      <c r="O24" s="283"/>
      <c r="P24" s="283"/>
      <c r="Q24" s="283"/>
    </row>
    <row r="25" spans="1:17" ht="19.399999999999999" customHeight="1" x14ac:dyDescent="0.35">
      <c r="A25" s="364" t="s">
        <v>9</v>
      </c>
      <c r="B25" s="365" t="s">
        <v>122</v>
      </c>
      <c r="C25" s="387" t="s">
        <v>123</v>
      </c>
      <c r="D25" s="382" t="s">
        <v>916</v>
      </c>
      <c r="E25" s="383" t="s">
        <v>124</v>
      </c>
      <c r="F25" s="399"/>
      <c r="G25" s="388">
        <v>2</v>
      </c>
      <c r="H25" s="387">
        <v>4</v>
      </c>
      <c r="I25" s="389">
        <v>4</v>
      </c>
      <c r="J25" s="384">
        <v>0.18181818181818174</v>
      </c>
      <c r="K25" s="385">
        <v>1</v>
      </c>
      <c r="L25" s="386">
        <v>1</v>
      </c>
      <c r="M25" s="491">
        <v>7.0578832419273247</v>
      </c>
      <c r="N25" s="491">
        <v>0.2714534485895676</v>
      </c>
      <c r="O25" s="283"/>
      <c r="P25" s="283"/>
      <c r="Q25" s="283"/>
    </row>
    <row r="26" spans="1:17" ht="19.399999999999999" customHeight="1" x14ac:dyDescent="0.35">
      <c r="A26" s="364" t="s">
        <v>9</v>
      </c>
      <c r="B26" s="365" t="s">
        <v>167</v>
      </c>
      <c r="C26" s="387" t="s">
        <v>168</v>
      </c>
      <c r="D26" s="382" t="s">
        <v>916</v>
      </c>
      <c r="E26" s="383" t="s">
        <v>169</v>
      </c>
      <c r="F26" s="399"/>
      <c r="G26" s="388">
        <v>4</v>
      </c>
      <c r="H26" s="387">
        <v>4</v>
      </c>
      <c r="I26" s="389">
        <v>4</v>
      </c>
      <c r="J26" s="384">
        <v>1</v>
      </c>
      <c r="K26" s="385">
        <v>1</v>
      </c>
      <c r="L26" s="386">
        <v>1</v>
      </c>
      <c r="M26" s="491">
        <v>-7.1508673581733033</v>
      </c>
      <c r="N26" s="491">
        <v>7.4654150053390866</v>
      </c>
      <c r="O26" s="283"/>
      <c r="P26" s="283"/>
      <c r="Q26" s="283"/>
    </row>
    <row r="27" spans="1:17" ht="19.399999999999999" customHeight="1" x14ac:dyDescent="0.35">
      <c r="A27" s="364" t="s">
        <v>9</v>
      </c>
      <c r="B27" s="365" t="s">
        <v>242</v>
      </c>
      <c r="C27" s="387" t="s">
        <v>243</v>
      </c>
      <c r="D27" s="382" t="s">
        <v>916</v>
      </c>
      <c r="E27" s="383" t="s">
        <v>244</v>
      </c>
      <c r="F27" s="399"/>
      <c r="G27" s="388">
        <v>2</v>
      </c>
      <c r="H27" s="387">
        <v>4</v>
      </c>
      <c r="I27" s="389">
        <v>4</v>
      </c>
      <c r="J27" s="384">
        <v>1</v>
      </c>
      <c r="K27" s="385">
        <v>1</v>
      </c>
      <c r="L27" s="386">
        <v>1</v>
      </c>
      <c r="M27" s="491">
        <v>0.61491299624011919</v>
      </c>
      <c r="N27" s="491">
        <v>1.8740907907336424</v>
      </c>
      <c r="O27" s="283"/>
      <c r="P27" s="283"/>
      <c r="Q27" s="283"/>
    </row>
    <row r="28" spans="1:17" ht="19.399999999999999" customHeight="1" x14ac:dyDescent="0.35">
      <c r="A28" s="364" t="s">
        <v>414</v>
      </c>
      <c r="B28" s="365" t="s">
        <v>19</v>
      </c>
      <c r="C28" s="387" t="s">
        <v>421</v>
      </c>
      <c r="D28" s="382" t="s">
        <v>916</v>
      </c>
      <c r="E28" s="383" t="s">
        <v>422</v>
      </c>
      <c r="F28" s="399"/>
      <c r="G28" s="388">
        <v>1</v>
      </c>
      <c r="H28" s="387">
        <v>3</v>
      </c>
      <c r="I28" s="389">
        <v>4</v>
      </c>
      <c r="J28" s="384">
        <v>0.40540540540540543</v>
      </c>
      <c r="K28" s="385">
        <v>0.66666666666666674</v>
      </c>
      <c r="L28" s="386">
        <v>0.75</v>
      </c>
      <c r="M28" s="491">
        <v>39.913064430519221</v>
      </c>
      <c r="N28" s="491">
        <v>29.660907078632977</v>
      </c>
      <c r="O28" s="283"/>
      <c r="P28" s="283"/>
      <c r="Q28" s="283"/>
    </row>
    <row r="29" spans="1:17" ht="19.399999999999999" customHeight="1" x14ac:dyDescent="0.35">
      <c r="A29" s="364" t="s">
        <v>414</v>
      </c>
      <c r="B29" s="365" t="s">
        <v>83</v>
      </c>
      <c r="C29" s="387" t="s">
        <v>463</v>
      </c>
      <c r="D29" s="382" t="s">
        <v>916</v>
      </c>
      <c r="E29" s="383" t="s">
        <v>464</v>
      </c>
      <c r="F29" s="399"/>
      <c r="G29" s="388">
        <v>4</v>
      </c>
      <c r="H29" s="387">
        <v>4</v>
      </c>
      <c r="I29" s="389">
        <v>4</v>
      </c>
      <c r="J29" s="384">
        <v>1</v>
      </c>
      <c r="K29" s="385">
        <v>1</v>
      </c>
      <c r="L29" s="386">
        <v>1</v>
      </c>
      <c r="M29" s="491">
        <v>-0.44845194022924739</v>
      </c>
      <c r="N29" s="491">
        <v>3.3894616005106926</v>
      </c>
      <c r="O29" s="283"/>
      <c r="P29" s="283"/>
      <c r="Q29" s="283"/>
    </row>
    <row r="30" spans="1:17" ht="19.399999999999999" customHeight="1" x14ac:dyDescent="0.35">
      <c r="A30" s="359" t="s">
        <v>414</v>
      </c>
      <c r="B30" s="360" t="s">
        <v>167</v>
      </c>
      <c r="C30" s="381" t="s">
        <v>519</v>
      </c>
      <c r="D30" s="382" t="s">
        <v>916</v>
      </c>
      <c r="E30" s="383" t="s">
        <v>520</v>
      </c>
      <c r="F30" s="399"/>
      <c r="G30" s="388">
        <v>3</v>
      </c>
      <c r="H30" s="387">
        <v>3</v>
      </c>
      <c r="I30" s="389">
        <v>4</v>
      </c>
      <c r="J30" s="384">
        <v>0.13636363636363641</v>
      </c>
      <c r="K30" s="385">
        <v>0.44999999999999996</v>
      </c>
      <c r="L30" s="386">
        <v>0.55555555555555558</v>
      </c>
      <c r="M30" s="492">
        <v>14.81154027932137</v>
      </c>
      <c r="N30" s="491">
        <v>8.367423040680805</v>
      </c>
      <c r="O30" s="283"/>
      <c r="P30" s="283"/>
      <c r="Q30" s="283"/>
    </row>
    <row r="31" spans="1:17" ht="19.399999999999999" customHeight="1" x14ac:dyDescent="0.35">
      <c r="A31" s="364" t="s">
        <v>414</v>
      </c>
      <c r="B31" s="365" t="s">
        <v>179</v>
      </c>
      <c r="C31" s="387" t="s">
        <v>527</v>
      </c>
      <c r="D31" s="382" t="s">
        <v>916</v>
      </c>
      <c r="E31" s="383" t="s">
        <v>528</v>
      </c>
      <c r="F31" s="399"/>
      <c r="G31" s="388">
        <v>4</v>
      </c>
      <c r="H31" s="387">
        <v>4</v>
      </c>
      <c r="I31" s="389">
        <v>4</v>
      </c>
      <c r="J31" s="384">
        <v>1</v>
      </c>
      <c r="K31" s="385">
        <v>1</v>
      </c>
      <c r="L31" s="386">
        <v>1</v>
      </c>
      <c r="M31" s="491">
        <v>35.43175487465183</v>
      </c>
      <c r="N31" s="491">
        <v>3.7817410024462412</v>
      </c>
      <c r="O31" s="283"/>
      <c r="P31" s="283"/>
      <c r="Q31" s="283"/>
    </row>
    <row r="32" spans="1:17" ht="19.399999999999999" customHeight="1" x14ac:dyDescent="0.35">
      <c r="A32" s="364" t="s">
        <v>414</v>
      </c>
      <c r="B32" s="365" t="s">
        <v>197</v>
      </c>
      <c r="C32" s="387" t="s">
        <v>539</v>
      </c>
      <c r="D32" s="382" t="s">
        <v>916</v>
      </c>
      <c r="E32" s="383" t="s">
        <v>540</v>
      </c>
      <c r="F32" s="399"/>
      <c r="G32" s="388">
        <v>4</v>
      </c>
      <c r="H32" s="387">
        <v>4</v>
      </c>
      <c r="I32" s="389">
        <v>4</v>
      </c>
      <c r="J32" s="384">
        <v>1</v>
      </c>
      <c r="K32" s="385">
        <v>1</v>
      </c>
      <c r="L32" s="386">
        <v>1</v>
      </c>
      <c r="M32" s="491">
        <v>8.4996196341658266</v>
      </c>
      <c r="N32" s="491">
        <v>5.0727887716028666E-2</v>
      </c>
      <c r="O32" s="283"/>
      <c r="P32" s="283"/>
      <c r="Q32" s="283"/>
    </row>
    <row r="33" spans="1:17" ht="19.399999999999999" customHeight="1" x14ac:dyDescent="0.35">
      <c r="A33" s="364" t="s">
        <v>414</v>
      </c>
      <c r="B33" s="365" t="s">
        <v>203</v>
      </c>
      <c r="C33" s="387" t="s">
        <v>543</v>
      </c>
      <c r="D33" s="382" t="s">
        <v>916</v>
      </c>
      <c r="E33" s="383" t="s">
        <v>544</v>
      </c>
      <c r="F33" s="399"/>
      <c r="G33" s="388">
        <v>4</v>
      </c>
      <c r="H33" s="387">
        <v>4</v>
      </c>
      <c r="I33" s="389">
        <v>4</v>
      </c>
      <c r="J33" s="384">
        <v>1</v>
      </c>
      <c r="K33" s="385">
        <v>1</v>
      </c>
      <c r="L33" s="386">
        <v>1</v>
      </c>
      <c r="M33" s="492">
        <v>13.493780470995519</v>
      </c>
      <c r="N33" s="491">
        <v>10.231016833565342</v>
      </c>
      <c r="O33" s="283"/>
      <c r="P33" s="283"/>
      <c r="Q33" s="283"/>
    </row>
    <row r="34" spans="1:17" ht="19.399999999999999" customHeight="1" x14ac:dyDescent="0.35">
      <c r="A34" s="364" t="s">
        <v>575</v>
      </c>
      <c r="B34" s="365" t="s">
        <v>188</v>
      </c>
      <c r="C34" s="387" t="s">
        <v>694</v>
      </c>
      <c r="D34" s="382" t="s">
        <v>916</v>
      </c>
      <c r="E34" s="383" t="s">
        <v>695</v>
      </c>
      <c r="F34" s="399"/>
      <c r="G34" s="388">
        <v>3</v>
      </c>
      <c r="H34" s="387">
        <v>3</v>
      </c>
      <c r="I34" s="389">
        <v>3</v>
      </c>
      <c r="J34" s="384">
        <v>1</v>
      </c>
      <c r="K34" s="385">
        <v>1</v>
      </c>
      <c r="L34" s="386">
        <v>1</v>
      </c>
      <c r="M34" s="491">
        <v>5.1995160281516011</v>
      </c>
      <c r="N34" s="491">
        <v>11.568447371305981</v>
      </c>
      <c r="O34" s="283"/>
      <c r="P34" s="283"/>
      <c r="Q34" s="283"/>
    </row>
    <row r="35" spans="1:17" ht="19.399999999999999" customHeight="1" x14ac:dyDescent="0.35">
      <c r="A35" s="364" t="s">
        <v>736</v>
      </c>
      <c r="B35" s="365" t="s">
        <v>158</v>
      </c>
      <c r="C35" s="387" t="s">
        <v>835</v>
      </c>
      <c r="D35" s="382" t="s">
        <v>916</v>
      </c>
      <c r="E35" s="383" t="s">
        <v>836</v>
      </c>
      <c r="F35" s="399"/>
      <c r="G35" s="388">
        <v>4</v>
      </c>
      <c r="H35" s="387">
        <v>4</v>
      </c>
      <c r="I35" s="389">
        <v>4</v>
      </c>
      <c r="J35" s="384">
        <v>1</v>
      </c>
      <c r="K35" s="385">
        <v>1</v>
      </c>
      <c r="L35" s="386">
        <v>1</v>
      </c>
      <c r="M35" s="491">
        <v>-3.418105045269507</v>
      </c>
      <c r="N35" s="491">
        <v>1.7140513887188427</v>
      </c>
      <c r="O35" s="283"/>
      <c r="P35" s="283"/>
      <c r="Q35" s="283"/>
    </row>
    <row r="36" spans="1:17" ht="19.399999999999999" customHeight="1" x14ac:dyDescent="0.35">
      <c r="A36" s="364" t="s">
        <v>736</v>
      </c>
      <c r="B36" s="365" t="s">
        <v>179</v>
      </c>
      <c r="C36" s="387" t="s">
        <v>849</v>
      </c>
      <c r="D36" s="382" t="s">
        <v>916</v>
      </c>
      <c r="E36" s="383" t="s">
        <v>850</v>
      </c>
      <c r="F36" s="399"/>
      <c r="G36" s="388">
        <v>4</v>
      </c>
      <c r="H36" s="387">
        <v>4</v>
      </c>
      <c r="I36" s="389">
        <v>4</v>
      </c>
      <c r="J36" s="384">
        <v>1</v>
      </c>
      <c r="K36" s="385">
        <v>1</v>
      </c>
      <c r="L36" s="386">
        <v>1</v>
      </c>
      <c r="M36" s="491">
        <v>-0.2143950858850675</v>
      </c>
      <c r="N36" s="491">
        <v>2.184804432807073</v>
      </c>
      <c r="O36" s="283"/>
      <c r="P36" s="283"/>
      <c r="Q36" s="283"/>
    </row>
    <row r="37" spans="1:17" ht="30.75" customHeight="1" x14ac:dyDescent="0.35">
      <c r="A37" s="366" t="s">
        <v>736</v>
      </c>
      <c r="B37" s="367" t="s">
        <v>89</v>
      </c>
      <c r="C37" s="391" t="s">
        <v>789</v>
      </c>
      <c r="D37" s="392" t="s">
        <v>916</v>
      </c>
      <c r="E37" s="393" t="s">
        <v>790</v>
      </c>
      <c r="F37" s="400"/>
      <c r="G37" s="394">
        <v>4</v>
      </c>
      <c r="H37" s="391">
        <v>4</v>
      </c>
      <c r="I37" s="395">
        <v>4</v>
      </c>
      <c r="J37" s="396">
        <v>0.3</v>
      </c>
      <c r="K37" s="397">
        <v>0.55555555555555558</v>
      </c>
      <c r="L37" s="398">
        <v>1</v>
      </c>
      <c r="M37" s="493">
        <v>17.794911022175349</v>
      </c>
      <c r="N37" s="493">
        <v>15.155671257286153</v>
      </c>
      <c r="O37" s="283"/>
    </row>
    <row r="38" spans="1:17" x14ac:dyDescent="0.35">
      <c r="A38" s="361"/>
      <c r="B38" s="361"/>
      <c r="C38" s="361"/>
      <c r="D38" s="361"/>
      <c r="E38" s="361"/>
      <c r="F38" s="368"/>
      <c r="G38" s="369"/>
      <c r="H38" s="369"/>
      <c r="I38" s="369"/>
      <c r="J38" s="369"/>
      <c r="K38" s="369"/>
      <c r="L38" s="369"/>
      <c r="O38" s="283"/>
    </row>
    <row r="39" spans="1:17" x14ac:dyDescent="0.35">
      <c r="A39" s="361"/>
      <c r="B39" s="361"/>
      <c r="C39" s="361"/>
      <c r="D39" s="361"/>
      <c r="E39" s="361"/>
      <c r="F39" s="368"/>
      <c r="G39" s="358"/>
      <c r="H39" s="358"/>
      <c r="I39" s="358"/>
      <c r="J39" s="369"/>
      <c r="K39" s="369"/>
      <c r="L39" s="369"/>
      <c r="O39" s="283"/>
    </row>
    <row r="40" spans="1:17" x14ac:dyDescent="0.35">
      <c r="A40" s="361"/>
      <c r="B40" s="361"/>
      <c r="C40" s="361"/>
      <c r="D40" s="361"/>
      <c r="E40" s="361"/>
      <c r="F40" s="368"/>
      <c r="G40" s="358"/>
      <c r="H40" s="358"/>
      <c r="I40" s="358"/>
      <c r="J40" s="369"/>
      <c r="K40" s="369"/>
      <c r="L40" s="369"/>
      <c r="O40" s="283"/>
    </row>
    <row r="41" spans="1:17" x14ac:dyDescent="0.35">
      <c r="A41" s="361"/>
      <c r="B41" s="361"/>
      <c r="C41" s="361"/>
      <c r="D41" s="361"/>
      <c r="E41" s="361"/>
      <c r="F41" s="368"/>
      <c r="G41" s="358"/>
      <c r="H41" s="358"/>
      <c r="I41" s="358"/>
      <c r="J41" s="369"/>
      <c r="K41" s="369"/>
      <c r="L41" s="369"/>
      <c r="O41" s="283"/>
    </row>
  </sheetData>
  <sortState xmlns:xlrd2="http://schemas.microsoft.com/office/spreadsheetml/2017/richdata2" ref="A3:N37">
    <sortCondition ref="D3:D37"/>
  </sortState>
  <mergeCells count="3">
    <mergeCell ref="G1:I1"/>
    <mergeCell ref="J1:L1"/>
    <mergeCell ref="M1:N1"/>
  </mergeCells>
  <conditionalFormatting sqref="G39:I1048576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8:I38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8:I1048576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3:L3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:I3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:M37">
    <cfRule type="cellIs" dxfId="4" priority="3" operator="lessThan">
      <formula>30</formula>
    </cfRule>
  </conditionalFormatting>
  <conditionalFormatting sqref="G3:L3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8"/>
  <sheetViews>
    <sheetView tabSelected="1" zoomScale="60" zoomScaleNormal="60" workbookViewId="0">
      <selection activeCell="M26" sqref="M26"/>
    </sheetView>
  </sheetViews>
  <sheetFormatPr defaultColWidth="11.453125" defaultRowHeight="17.5" x14ac:dyDescent="0.35"/>
  <cols>
    <col min="1" max="1" width="20.453125" style="221" customWidth="1"/>
    <col min="2" max="2" width="24.453125" style="534" customWidth="1"/>
    <col min="3" max="3" width="13" style="221" customWidth="1"/>
    <col min="4" max="4" width="30.54296875" style="221" customWidth="1"/>
    <col min="5" max="5" width="15" style="221" customWidth="1"/>
    <col min="6" max="6" width="23.1796875" style="221" customWidth="1"/>
    <col min="7" max="7" width="34.1796875" style="221" customWidth="1"/>
    <col min="8" max="16384" width="11.453125" style="221"/>
  </cols>
  <sheetData>
    <row r="1" spans="1:9" ht="45" customHeight="1" x14ac:dyDescent="0.35">
      <c r="A1" s="514" t="s">
        <v>3</v>
      </c>
      <c r="B1" s="94" t="s">
        <v>913</v>
      </c>
      <c r="C1" s="94" t="s">
        <v>4</v>
      </c>
      <c r="D1" s="95" t="s">
        <v>914</v>
      </c>
      <c r="E1" s="517" t="s">
        <v>1963</v>
      </c>
      <c r="F1" s="518" t="s">
        <v>1962</v>
      </c>
      <c r="G1" s="519" t="s">
        <v>1970</v>
      </c>
    </row>
    <row r="2" spans="1:9" ht="30" customHeight="1" x14ac:dyDescent="0.35">
      <c r="A2" s="520" t="s">
        <v>395</v>
      </c>
      <c r="B2" s="260" t="s">
        <v>993</v>
      </c>
      <c r="C2" s="260" t="s">
        <v>396</v>
      </c>
      <c r="D2" s="451" t="s">
        <v>397</v>
      </c>
      <c r="E2" s="521">
        <v>1</v>
      </c>
      <c r="F2" s="522">
        <v>1</v>
      </c>
      <c r="G2" s="523">
        <v>0.83329811092660477</v>
      </c>
      <c r="I2" s="524"/>
    </row>
    <row r="3" spans="1:9" ht="30" customHeight="1" x14ac:dyDescent="0.35">
      <c r="A3" s="525" t="s">
        <v>20</v>
      </c>
      <c r="B3" s="260" t="s">
        <v>993</v>
      </c>
      <c r="C3" s="260" t="s">
        <v>21</v>
      </c>
      <c r="D3" s="451" t="s">
        <v>22</v>
      </c>
      <c r="E3" s="521">
        <v>1</v>
      </c>
      <c r="F3" s="521">
        <v>0.92727272727272725</v>
      </c>
      <c r="G3" s="526">
        <v>0.76479506790014318</v>
      </c>
    </row>
    <row r="4" spans="1:9" ht="30" customHeight="1" x14ac:dyDescent="0.35">
      <c r="A4" s="525" t="s">
        <v>280</v>
      </c>
      <c r="B4" s="260" t="s">
        <v>993</v>
      </c>
      <c r="C4" s="260" t="s">
        <v>281</v>
      </c>
      <c r="D4" s="451" t="s">
        <v>282</v>
      </c>
      <c r="E4" s="521">
        <v>1</v>
      </c>
      <c r="F4" s="521">
        <v>1</v>
      </c>
      <c r="G4" s="526">
        <v>0.67771656553031512</v>
      </c>
    </row>
    <row r="5" spans="1:9" ht="30" customHeight="1" x14ac:dyDescent="0.35">
      <c r="A5" s="520" t="s">
        <v>883</v>
      </c>
      <c r="B5" s="260" t="s">
        <v>993</v>
      </c>
      <c r="C5" s="260" t="s">
        <v>884</v>
      </c>
      <c r="D5" s="451" t="s">
        <v>924</v>
      </c>
      <c r="E5" s="521">
        <v>1</v>
      </c>
      <c r="F5" s="521">
        <v>1</v>
      </c>
      <c r="G5" s="526">
        <v>0</v>
      </c>
    </row>
    <row r="6" spans="1:9" ht="30" customHeight="1" x14ac:dyDescent="0.35">
      <c r="A6" s="520" t="s">
        <v>375</v>
      </c>
      <c r="B6" s="260" t="s">
        <v>993</v>
      </c>
      <c r="C6" s="260" t="s">
        <v>376</v>
      </c>
      <c r="D6" s="451" t="s">
        <v>929</v>
      </c>
      <c r="E6" s="521">
        <v>1</v>
      </c>
      <c r="F6" s="521">
        <v>0.40740740740740744</v>
      </c>
      <c r="G6" s="526">
        <v>0</v>
      </c>
    </row>
    <row r="7" spans="1:9" ht="30" customHeight="1" x14ac:dyDescent="0.35">
      <c r="A7" s="520" t="s">
        <v>355</v>
      </c>
      <c r="B7" s="260" t="s">
        <v>993</v>
      </c>
      <c r="C7" s="260" t="s">
        <v>356</v>
      </c>
      <c r="D7" s="451" t="s">
        <v>928</v>
      </c>
      <c r="E7" s="521">
        <v>1</v>
      </c>
      <c r="F7" s="521">
        <v>0.40740740740740744</v>
      </c>
      <c r="G7" s="526">
        <v>5.8284574098028934E-3</v>
      </c>
    </row>
    <row r="8" spans="1:9" ht="30" customHeight="1" x14ac:dyDescent="0.35">
      <c r="A8" s="520" t="s">
        <v>276</v>
      </c>
      <c r="B8" s="260" t="s">
        <v>993</v>
      </c>
      <c r="C8" s="260" t="s">
        <v>277</v>
      </c>
      <c r="D8" s="527" t="s">
        <v>927</v>
      </c>
      <c r="E8" s="521">
        <v>1</v>
      </c>
      <c r="F8" s="521">
        <v>0.40740740740740744</v>
      </c>
      <c r="G8" s="526">
        <v>0</v>
      </c>
    </row>
    <row r="9" spans="1:9" ht="30" customHeight="1" x14ac:dyDescent="0.35">
      <c r="A9" s="520" t="s">
        <v>379</v>
      </c>
      <c r="B9" s="260" t="s">
        <v>993</v>
      </c>
      <c r="C9" s="260" t="s">
        <v>380</v>
      </c>
      <c r="D9" s="451" t="s">
        <v>936</v>
      </c>
      <c r="E9" s="521">
        <v>0.5</v>
      </c>
      <c r="F9" s="521">
        <v>3.7037037037037125E-2</v>
      </c>
      <c r="G9" s="526">
        <v>0.16494821871840332</v>
      </c>
    </row>
    <row r="10" spans="1:9" ht="30" customHeight="1" x14ac:dyDescent="0.35">
      <c r="A10" s="520" t="s">
        <v>805</v>
      </c>
      <c r="B10" s="260" t="s">
        <v>993</v>
      </c>
      <c r="C10" s="260" t="s">
        <v>806</v>
      </c>
      <c r="D10" s="451" t="s">
        <v>939</v>
      </c>
      <c r="E10" s="521">
        <v>0</v>
      </c>
      <c r="F10" s="521">
        <v>0.5</v>
      </c>
      <c r="G10" s="526">
        <v>0</v>
      </c>
    </row>
    <row r="11" spans="1:9" ht="30" customHeight="1" x14ac:dyDescent="0.35">
      <c r="A11" s="520" t="s">
        <v>299</v>
      </c>
      <c r="B11" s="260" t="s">
        <v>993</v>
      </c>
      <c r="C11" s="260" t="s">
        <v>300</v>
      </c>
      <c r="D11" s="451" t="s">
        <v>952</v>
      </c>
      <c r="E11" s="521">
        <v>0</v>
      </c>
      <c r="F11" s="521">
        <v>0</v>
      </c>
      <c r="G11" s="526">
        <v>2.2144411380569461E-2</v>
      </c>
    </row>
    <row r="12" spans="1:9" ht="30" customHeight="1" x14ac:dyDescent="0.35">
      <c r="A12" s="520" t="s">
        <v>879</v>
      </c>
      <c r="B12" s="260" t="s">
        <v>993</v>
      </c>
      <c r="C12" s="260" t="s">
        <v>880</v>
      </c>
      <c r="D12" s="451" t="s">
        <v>957</v>
      </c>
      <c r="E12" s="521">
        <v>0</v>
      </c>
      <c r="F12" s="521">
        <v>0</v>
      </c>
      <c r="G12" s="526">
        <v>0</v>
      </c>
    </row>
    <row r="13" spans="1:9" ht="30" customHeight="1" x14ac:dyDescent="0.35">
      <c r="A13" s="520" t="s">
        <v>763</v>
      </c>
      <c r="B13" s="260" t="s">
        <v>1939</v>
      </c>
      <c r="C13" s="260" t="s">
        <v>764</v>
      </c>
      <c r="D13" s="451" t="s">
        <v>961</v>
      </c>
      <c r="E13" s="521">
        <v>0</v>
      </c>
      <c r="F13" s="521">
        <v>0</v>
      </c>
      <c r="G13" s="526">
        <v>0</v>
      </c>
    </row>
    <row r="14" spans="1:9" ht="30" customHeight="1" x14ac:dyDescent="0.35">
      <c r="A14" s="520" t="s">
        <v>335</v>
      </c>
      <c r="B14" s="260" t="s">
        <v>993</v>
      </c>
      <c r="C14" s="260" t="s">
        <v>336</v>
      </c>
      <c r="D14" s="451" t="s">
        <v>953</v>
      </c>
      <c r="E14" s="521">
        <v>0</v>
      </c>
      <c r="F14" s="521">
        <v>0</v>
      </c>
      <c r="G14" s="526">
        <v>2.0146877003390656E-3</v>
      </c>
    </row>
    <row r="15" spans="1:9" ht="30" customHeight="1" x14ac:dyDescent="0.35">
      <c r="A15" s="520" t="s">
        <v>819</v>
      </c>
      <c r="B15" s="260" t="s">
        <v>993</v>
      </c>
      <c r="C15" s="260" t="s">
        <v>820</v>
      </c>
      <c r="D15" s="451" t="s">
        <v>947</v>
      </c>
      <c r="E15" s="521">
        <v>0</v>
      </c>
      <c r="F15" s="521">
        <v>0.16666666666666666</v>
      </c>
      <c r="G15" s="526">
        <v>0</v>
      </c>
    </row>
    <row r="16" spans="1:9" ht="30" customHeight="1" x14ac:dyDescent="0.35">
      <c r="A16" s="520" t="s">
        <v>337</v>
      </c>
      <c r="B16" s="260" t="s">
        <v>993</v>
      </c>
      <c r="C16" s="260" t="s">
        <v>338</v>
      </c>
      <c r="D16" s="451" t="s">
        <v>956</v>
      </c>
      <c r="E16" s="521">
        <v>0</v>
      </c>
      <c r="F16" s="521">
        <v>0</v>
      </c>
      <c r="G16" s="526">
        <v>0</v>
      </c>
    </row>
    <row r="17" spans="1:9" ht="30" customHeight="1" x14ac:dyDescent="0.35">
      <c r="A17" s="520" t="s">
        <v>377</v>
      </c>
      <c r="B17" s="260" t="s">
        <v>993</v>
      </c>
      <c r="C17" s="260" t="s">
        <v>378</v>
      </c>
      <c r="D17" s="451" t="s">
        <v>948</v>
      </c>
      <c r="E17" s="521">
        <v>0</v>
      </c>
      <c r="F17" s="521">
        <v>3.7037037037037125E-2</v>
      </c>
      <c r="G17" s="526">
        <v>0.10345838154869498</v>
      </c>
    </row>
    <row r="18" spans="1:9" ht="30" customHeight="1" x14ac:dyDescent="0.35">
      <c r="A18" s="520" t="s">
        <v>743</v>
      </c>
      <c r="B18" s="260" t="s">
        <v>993</v>
      </c>
      <c r="C18" s="260" t="s">
        <v>744</v>
      </c>
      <c r="D18" s="451" t="s">
        <v>945</v>
      </c>
      <c r="E18" s="521">
        <v>0</v>
      </c>
      <c r="F18" s="521">
        <v>0</v>
      </c>
      <c r="G18" s="526">
        <v>0.20047890906944549</v>
      </c>
    </row>
    <row r="19" spans="1:9" ht="30" customHeight="1" x14ac:dyDescent="0.35">
      <c r="A19" s="520" t="s">
        <v>398</v>
      </c>
      <c r="B19" s="260" t="s">
        <v>993</v>
      </c>
      <c r="C19" s="260" t="s">
        <v>399</v>
      </c>
      <c r="D19" s="451" t="s">
        <v>958</v>
      </c>
      <c r="E19" s="521">
        <v>0</v>
      </c>
      <c r="F19" s="521">
        <v>0</v>
      </c>
      <c r="G19" s="526">
        <v>0</v>
      </c>
    </row>
    <row r="20" spans="1:9" ht="30" customHeight="1" x14ac:dyDescent="0.35">
      <c r="A20" s="520" t="s">
        <v>381</v>
      </c>
      <c r="B20" s="260" t="s">
        <v>993</v>
      </c>
      <c r="C20" s="260" t="s">
        <v>382</v>
      </c>
      <c r="D20" s="451" t="s">
        <v>944</v>
      </c>
      <c r="E20" s="521">
        <v>0</v>
      </c>
      <c r="F20" s="521">
        <v>3.7037037037037125E-2</v>
      </c>
      <c r="G20" s="526">
        <v>0.17058957111514467</v>
      </c>
    </row>
    <row r="21" spans="1:9" ht="30" customHeight="1" x14ac:dyDescent="0.35">
      <c r="A21" s="520" t="s">
        <v>885</v>
      </c>
      <c r="B21" s="260" t="s">
        <v>993</v>
      </c>
      <c r="C21" s="260" t="s">
        <v>886</v>
      </c>
      <c r="D21" s="451" t="s">
        <v>951</v>
      </c>
      <c r="E21" s="521">
        <v>0</v>
      </c>
      <c r="F21" s="521">
        <v>3.0303030303030203E-2</v>
      </c>
      <c r="G21" s="526">
        <v>0</v>
      </c>
    </row>
    <row r="22" spans="1:9" ht="30" customHeight="1" x14ac:dyDescent="0.35">
      <c r="A22" s="520" t="s">
        <v>256</v>
      </c>
      <c r="B22" s="260" t="s">
        <v>993</v>
      </c>
      <c r="C22" s="260" t="s">
        <v>257</v>
      </c>
      <c r="D22" s="451" t="s">
        <v>950</v>
      </c>
      <c r="E22" s="521">
        <v>0</v>
      </c>
      <c r="F22" s="521">
        <v>0</v>
      </c>
      <c r="G22" s="526">
        <v>7.0560499032264704E-2</v>
      </c>
    </row>
    <row r="23" spans="1:9" ht="30" customHeight="1" x14ac:dyDescent="0.35">
      <c r="A23" s="520" t="s">
        <v>391</v>
      </c>
      <c r="B23" s="260" t="s">
        <v>993</v>
      </c>
      <c r="C23" s="260" t="s">
        <v>392</v>
      </c>
      <c r="D23" s="451" t="s">
        <v>943</v>
      </c>
      <c r="E23" s="521">
        <v>0</v>
      </c>
      <c r="F23" s="521">
        <v>0.11111111111111123</v>
      </c>
      <c r="G23" s="526">
        <v>0.1120802212531264</v>
      </c>
    </row>
    <row r="24" spans="1:9" ht="30" customHeight="1" x14ac:dyDescent="0.35">
      <c r="A24" s="520" t="s">
        <v>745</v>
      </c>
      <c r="B24" s="260" t="s">
        <v>993</v>
      </c>
      <c r="C24" s="260" t="s">
        <v>746</v>
      </c>
      <c r="D24" s="451" t="s">
        <v>959</v>
      </c>
      <c r="E24" s="521">
        <v>0</v>
      </c>
      <c r="F24" s="521">
        <v>0</v>
      </c>
      <c r="G24" s="526">
        <v>0</v>
      </c>
    </row>
    <row r="25" spans="1:9" ht="30" customHeight="1" x14ac:dyDescent="0.35">
      <c r="A25" s="520" t="s">
        <v>319</v>
      </c>
      <c r="B25" s="260" t="s">
        <v>993</v>
      </c>
      <c r="C25" s="260" t="s">
        <v>320</v>
      </c>
      <c r="D25" s="451" t="s">
        <v>940</v>
      </c>
      <c r="E25" s="521">
        <v>0</v>
      </c>
      <c r="F25" s="521">
        <v>0</v>
      </c>
      <c r="G25" s="526">
        <v>0.28058993897286988</v>
      </c>
    </row>
    <row r="26" spans="1:9" ht="30" customHeight="1" x14ac:dyDescent="0.35">
      <c r="A26" s="520" t="s">
        <v>412</v>
      </c>
      <c r="B26" s="260" t="s">
        <v>993</v>
      </c>
      <c r="C26" s="260" t="s">
        <v>413</v>
      </c>
      <c r="D26" s="451" t="s">
        <v>960</v>
      </c>
      <c r="E26" s="521">
        <v>0</v>
      </c>
      <c r="F26" s="521">
        <v>0</v>
      </c>
      <c r="G26" s="526">
        <v>0</v>
      </c>
    </row>
    <row r="27" spans="1:9" ht="30" customHeight="1" x14ac:dyDescent="0.35">
      <c r="A27" s="528" t="s">
        <v>315</v>
      </c>
      <c r="B27" s="457" t="s">
        <v>993</v>
      </c>
      <c r="C27" s="457" t="s">
        <v>316</v>
      </c>
      <c r="D27" s="529" t="s">
        <v>946</v>
      </c>
      <c r="E27" s="530">
        <v>0</v>
      </c>
      <c r="F27" s="530">
        <v>0.18518518518518512</v>
      </c>
      <c r="G27" s="531">
        <v>0</v>
      </c>
    </row>
    <row r="28" spans="1:9" x14ac:dyDescent="0.35">
      <c r="A28" s="532"/>
      <c r="B28" s="533"/>
      <c r="C28" s="532"/>
      <c r="D28" s="532"/>
      <c r="E28" s="532"/>
      <c r="F28" s="532"/>
      <c r="G28" s="532"/>
      <c r="H28" s="532"/>
      <c r="I28" s="532"/>
    </row>
  </sheetData>
  <conditionalFormatting sqref="E2:G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0"/>
  <sheetViews>
    <sheetView zoomScale="70" zoomScaleNormal="70" workbookViewId="0">
      <selection activeCell="E1" sqref="E1:K1"/>
    </sheetView>
  </sheetViews>
  <sheetFormatPr defaultColWidth="9.1796875" defaultRowHeight="14" x14ac:dyDescent="0.3"/>
  <cols>
    <col min="1" max="1" width="33.453125" style="46" customWidth="1"/>
    <col min="2" max="3" width="9.1796875" style="46"/>
    <col min="4" max="4" width="16" style="46" customWidth="1"/>
    <col min="5" max="5" width="15" style="46" customWidth="1"/>
    <col min="6" max="6" width="15.1796875" style="46" customWidth="1"/>
    <col min="7" max="7" width="16" style="46" customWidth="1"/>
    <col min="8" max="11" width="18.54296875" style="46" customWidth="1"/>
    <col min="12" max="12" width="25.54296875" style="55" customWidth="1"/>
    <col min="13" max="13" width="23.453125" style="55" customWidth="1"/>
    <col min="14" max="14" width="29.453125" style="46" customWidth="1"/>
    <col min="15" max="15" width="16.1796875" style="46" customWidth="1"/>
    <col min="16" max="16" width="10.453125" style="46" customWidth="1"/>
    <col min="17" max="17" width="17" style="46" customWidth="1"/>
    <col min="18" max="18" width="16" style="46" customWidth="1"/>
    <col min="19" max="19" width="12.1796875" style="55" customWidth="1"/>
    <col min="20" max="20" width="12.54296875" style="55" customWidth="1"/>
    <col min="21" max="21" width="14" style="55" customWidth="1"/>
    <col min="22" max="16384" width="9.1796875" style="46"/>
  </cols>
  <sheetData>
    <row r="1" spans="1:21" ht="38.25" customHeight="1" thickBot="1" x14ac:dyDescent="0.35">
      <c r="B1" s="51"/>
      <c r="C1" s="51"/>
      <c r="D1" s="51"/>
      <c r="E1" s="666" t="s">
        <v>1993</v>
      </c>
      <c r="F1" s="667"/>
      <c r="G1" s="667"/>
      <c r="H1" s="667"/>
      <c r="I1" s="667"/>
      <c r="J1" s="667"/>
      <c r="K1" s="668"/>
      <c r="L1" s="661" t="s">
        <v>1971</v>
      </c>
      <c r="M1" s="662"/>
      <c r="N1" s="248" t="s">
        <v>1999</v>
      </c>
      <c r="O1" s="658" t="s">
        <v>1998</v>
      </c>
      <c r="P1" s="659"/>
      <c r="Q1" s="660"/>
      <c r="R1" s="663" t="s">
        <v>970</v>
      </c>
      <c r="S1" s="664"/>
      <c r="T1" s="665"/>
      <c r="U1" s="249" t="s">
        <v>971</v>
      </c>
    </row>
    <row r="2" spans="1:21" s="50" customFormat="1" ht="38.25" customHeight="1" thickBot="1" x14ac:dyDescent="0.35">
      <c r="A2" s="61" t="s">
        <v>968</v>
      </c>
      <c r="B2" s="62" t="s">
        <v>1</v>
      </c>
      <c r="C2" s="63" t="s">
        <v>2</v>
      </c>
      <c r="D2" s="61" t="s">
        <v>969</v>
      </c>
      <c r="E2" s="47" t="s">
        <v>6</v>
      </c>
      <c r="F2" s="48" t="s">
        <v>7</v>
      </c>
      <c r="G2" s="49" t="s">
        <v>1963</v>
      </c>
      <c r="H2" s="488" t="s">
        <v>2023</v>
      </c>
      <c r="I2" s="488" t="s">
        <v>2024</v>
      </c>
      <c r="J2" s="488" t="s">
        <v>1962</v>
      </c>
      <c r="K2" s="340" t="s">
        <v>1994</v>
      </c>
      <c r="L2" s="83" t="s">
        <v>1996</v>
      </c>
      <c r="M2" s="84" t="s">
        <v>1997</v>
      </c>
      <c r="N2" s="77" t="s">
        <v>996</v>
      </c>
      <c r="O2" s="85" t="s">
        <v>972</v>
      </c>
      <c r="P2" s="78" t="s">
        <v>973</v>
      </c>
      <c r="Q2" s="86" t="s">
        <v>974</v>
      </c>
      <c r="R2" s="79" t="s">
        <v>995</v>
      </c>
      <c r="S2" s="80" t="s">
        <v>997</v>
      </c>
      <c r="T2" s="81" t="s">
        <v>998</v>
      </c>
      <c r="U2" s="82"/>
    </row>
    <row r="3" spans="1:21" ht="36.75" customHeight="1" x14ac:dyDescent="0.3">
      <c r="A3" s="68" t="s">
        <v>271</v>
      </c>
      <c r="B3" s="52" t="s">
        <v>975</v>
      </c>
      <c r="C3" s="12" t="s">
        <v>38</v>
      </c>
      <c r="D3" s="244" t="s">
        <v>270</v>
      </c>
      <c r="E3" s="325">
        <v>4</v>
      </c>
      <c r="F3" s="326">
        <v>4</v>
      </c>
      <c r="G3" s="327">
        <v>4</v>
      </c>
      <c r="H3" s="342">
        <v>1</v>
      </c>
      <c r="I3" s="342">
        <v>1</v>
      </c>
      <c r="J3" s="343">
        <v>1</v>
      </c>
      <c r="K3" s="328" t="s">
        <v>1985</v>
      </c>
      <c r="L3" s="341">
        <v>100</v>
      </c>
      <c r="M3" s="250"/>
      <c r="N3" s="254"/>
      <c r="O3" s="251">
        <v>0.28999999999999998</v>
      </c>
      <c r="P3" s="252">
        <v>3.22</v>
      </c>
      <c r="Q3" s="253">
        <v>4.8</v>
      </c>
      <c r="R3" s="255">
        <v>6.19</v>
      </c>
      <c r="S3" s="256"/>
      <c r="T3" s="257">
        <v>6.94</v>
      </c>
      <c r="U3" s="13"/>
    </row>
    <row r="4" spans="1:21" ht="36.75" customHeight="1" x14ac:dyDescent="0.3">
      <c r="A4" s="68" t="s">
        <v>312</v>
      </c>
      <c r="B4" s="52" t="s">
        <v>975</v>
      </c>
      <c r="C4" s="12" t="s">
        <v>98</v>
      </c>
      <c r="D4" s="244" t="s">
        <v>311</v>
      </c>
      <c r="E4" s="329" t="s">
        <v>1978</v>
      </c>
      <c r="F4" s="330">
        <v>4</v>
      </c>
      <c r="G4" s="331">
        <v>4</v>
      </c>
      <c r="H4" s="344">
        <v>1</v>
      </c>
      <c r="I4" s="344">
        <v>1</v>
      </c>
      <c r="J4" s="345">
        <v>1</v>
      </c>
      <c r="K4" s="332" t="s">
        <v>1986</v>
      </c>
      <c r="L4" s="341">
        <v>100</v>
      </c>
      <c r="M4" s="258">
        <v>0.15</v>
      </c>
      <c r="N4" s="254"/>
      <c r="O4" s="251"/>
      <c r="P4" s="252">
        <v>3.7</v>
      </c>
      <c r="Q4" s="253"/>
      <c r="R4" s="255"/>
      <c r="S4" s="256"/>
      <c r="T4" s="257">
        <v>1.55</v>
      </c>
      <c r="U4" s="13"/>
    </row>
    <row r="5" spans="1:21" ht="36.75" customHeight="1" x14ac:dyDescent="0.3">
      <c r="A5" s="68" t="s">
        <v>332</v>
      </c>
      <c r="B5" s="52" t="s">
        <v>975</v>
      </c>
      <c r="C5" s="12" t="s">
        <v>128</v>
      </c>
      <c r="D5" s="244" t="s">
        <v>331</v>
      </c>
      <c r="E5" s="329" t="s">
        <v>1978</v>
      </c>
      <c r="F5" s="330">
        <v>4</v>
      </c>
      <c r="G5" s="331">
        <v>4</v>
      </c>
      <c r="H5" s="344">
        <v>1</v>
      </c>
      <c r="I5" s="344">
        <v>1</v>
      </c>
      <c r="J5" s="345">
        <v>1</v>
      </c>
      <c r="K5" s="332" t="s">
        <v>1987</v>
      </c>
      <c r="L5" s="341">
        <v>100</v>
      </c>
      <c r="M5" s="258">
        <v>0.51</v>
      </c>
      <c r="N5" s="254"/>
      <c r="O5" s="251">
        <v>0.5</v>
      </c>
      <c r="P5" s="252">
        <v>2.5</v>
      </c>
      <c r="Q5" s="253">
        <v>3.2</v>
      </c>
      <c r="R5" s="259">
        <v>86</v>
      </c>
      <c r="S5" s="260"/>
      <c r="T5" s="261">
        <v>1</v>
      </c>
      <c r="U5" s="13" t="s">
        <v>977</v>
      </c>
    </row>
    <row r="6" spans="1:21" ht="36.75" customHeight="1" x14ac:dyDescent="0.3">
      <c r="A6" s="68" t="s">
        <v>390</v>
      </c>
      <c r="B6" s="52" t="s">
        <v>975</v>
      </c>
      <c r="C6" s="12" t="s">
        <v>215</v>
      </c>
      <c r="D6" s="244" t="s">
        <v>389</v>
      </c>
      <c r="E6" s="329" t="s">
        <v>1979</v>
      </c>
      <c r="F6" s="330">
        <v>4</v>
      </c>
      <c r="G6" s="331">
        <v>4</v>
      </c>
      <c r="H6" s="344">
        <v>1</v>
      </c>
      <c r="I6" s="344">
        <v>1</v>
      </c>
      <c r="J6" s="345">
        <v>1</v>
      </c>
      <c r="K6" s="332" t="s">
        <v>1988</v>
      </c>
      <c r="L6" s="341">
        <v>100</v>
      </c>
      <c r="M6" s="258">
        <v>0.28999999999999998</v>
      </c>
      <c r="N6" s="254"/>
      <c r="O6" s="251"/>
      <c r="P6" s="252">
        <v>3.8</v>
      </c>
      <c r="Q6" s="253">
        <v>7.2</v>
      </c>
      <c r="R6" s="259" t="s">
        <v>984</v>
      </c>
      <c r="S6" s="260"/>
      <c r="T6" s="257">
        <v>8.4600000000000009</v>
      </c>
      <c r="U6" s="13"/>
    </row>
    <row r="7" spans="1:21" ht="36.75" customHeight="1" x14ac:dyDescent="0.3">
      <c r="A7" s="68" t="s">
        <v>589</v>
      </c>
      <c r="B7" s="52" t="s">
        <v>980</v>
      </c>
      <c r="C7" s="12" t="s">
        <v>29</v>
      </c>
      <c r="D7" s="245" t="s">
        <v>588</v>
      </c>
      <c r="E7" s="262">
        <v>0</v>
      </c>
      <c r="F7" s="333">
        <v>0</v>
      </c>
      <c r="G7" s="331">
        <v>2</v>
      </c>
      <c r="H7" s="344">
        <v>0.6</v>
      </c>
      <c r="I7" s="344">
        <v>1</v>
      </c>
      <c r="J7" s="345">
        <v>1</v>
      </c>
      <c r="K7" s="332" t="s">
        <v>1989</v>
      </c>
      <c r="L7" s="341">
        <v>100</v>
      </c>
      <c r="M7" s="258">
        <v>0.27</v>
      </c>
      <c r="N7" s="254" t="s">
        <v>976</v>
      </c>
      <c r="O7" s="263">
        <v>1.4</v>
      </c>
      <c r="P7" s="264">
        <v>2.1</v>
      </c>
      <c r="Q7" s="265">
        <v>3.7</v>
      </c>
      <c r="R7" s="259">
        <v>20</v>
      </c>
      <c r="S7" s="260"/>
      <c r="T7" s="261">
        <v>25.7</v>
      </c>
      <c r="U7" s="13"/>
    </row>
    <row r="8" spans="1:21" ht="36.75" customHeight="1" x14ac:dyDescent="0.3">
      <c r="A8" s="76" t="s">
        <v>298</v>
      </c>
      <c r="B8" s="52" t="s">
        <v>975</v>
      </c>
      <c r="C8" s="52" t="s">
        <v>77</v>
      </c>
      <c r="D8" s="246" t="s">
        <v>297</v>
      </c>
      <c r="E8" s="329">
        <v>4</v>
      </c>
      <c r="F8" s="330">
        <v>4</v>
      </c>
      <c r="G8" s="331">
        <v>4</v>
      </c>
      <c r="H8" s="346">
        <v>0.45</v>
      </c>
      <c r="I8" s="344">
        <v>0.68</v>
      </c>
      <c r="J8" s="345">
        <v>0.94</v>
      </c>
      <c r="K8" s="334" t="s">
        <v>1980</v>
      </c>
      <c r="L8" s="341">
        <v>88</v>
      </c>
      <c r="M8" s="258">
        <v>0.43</v>
      </c>
      <c r="N8" s="254" t="s">
        <v>976</v>
      </c>
      <c r="O8" s="266"/>
      <c r="P8" s="267"/>
      <c r="Q8" s="268"/>
      <c r="R8" s="259"/>
      <c r="S8" s="260"/>
      <c r="T8" s="257">
        <v>4.63</v>
      </c>
      <c r="U8" s="13" t="s">
        <v>977</v>
      </c>
    </row>
    <row r="9" spans="1:21" ht="36.75" customHeight="1" x14ac:dyDescent="0.3">
      <c r="A9" s="68" t="s">
        <v>754</v>
      </c>
      <c r="B9" s="52" t="s">
        <v>982</v>
      </c>
      <c r="C9" s="12" t="s">
        <v>35</v>
      </c>
      <c r="D9" s="244" t="s">
        <v>753</v>
      </c>
      <c r="E9" s="329">
        <v>2</v>
      </c>
      <c r="F9" s="330">
        <v>4</v>
      </c>
      <c r="G9" s="331">
        <v>4</v>
      </c>
      <c r="H9" s="346">
        <v>0.05</v>
      </c>
      <c r="I9" s="346">
        <v>0</v>
      </c>
      <c r="J9" s="347">
        <v>0.11</v>
      </c>
      <c r="K9" s="332" t="s">
        <v>1990</v>
      </c>
      <c r="L9" s="341">
        <v>93</v>
      </c>
      <c r="M9" s="258">
        <v>1.18</v>
      </c>
      <c r="N9" s="254" t="s">
        <v>976</v>
      </c>
      <c r="O9" s="251">
        <v>6.7</v>
      </c>
      <c r="P9" s="252">
        <v>5.7</v>
      </c>
      <c r="Q9" s="253">
        <v>4.9000000000000004</v>
      </c>
      <c r="R9" s="259">
        <v>40.1</v>
      </c>
      <c r="S9" s="260"/>
      <c r="T9" s="261">
        <v>24.3</v>
      </c>
      <c r="U9" s="13"/>
    </row>
    <row r="10" spans="1:21" ht="36.75" customHeight="1" x14ac:dyDescent="0.3">
      <c r="A10" s="68" t="s">
        <v>798</v>
      </c>
      <c r="B10" s="52" t="s">
        <v>982</v>
      </c>
      <c r="C10" s="12" t="s">
        <v>101</v>
      </c>
      <c r="D10" s="244" t="s">
        <v>797</v>
      </c>
      <c r="E10" s="262">
        <v>0</v>
      </c>
      <c r="F10" s="333">
        <v>0</v>
      </c>
      <c r="G10" s="335">
        <v>0</v>
      </c>
      <c r="H10" s="346">
        <v>0.15</v>
      </c>
      <c r="I10" s="346">
        <v>0.17</v>
      </c>
      <c r="J10" s="347">
        <v>0.19</v>
      </c>
      <c r="K10" s="332" t="s">
        <v>1991</v>
      </c>
      <c r="L10" s="269">
        <v>20</v>
      </c>
      <c r="M10" s="250"/>
      <c r="N10" s="254"/>
      <c r="O10" s="251">
        <v>3.36</v>
      </c>
      <c r="P10" s="252">
        <v>7.02</v>
      </c>
      <c r="Q10" s="253">
        <v>5.3</v>
      </c>
      <c r="R10" s="255">
        <v>8.31</v>
      </c>
      <c r="S10" s="260" t="s">
        <v>983</v>
      </c>
      <c r="T10" s="261"/>
      <c r="U10" s="13" t="s">
        <v>977</v>
      </c>
    </row>
    <row r="11" spans="1:21" ht="36.75" customHeight="1" x14ac:dyDescent="0.3">
      <c r="A11" s="68" t="s">
        <v>558</v>
      </c>
      <c r="B11" s="52" t="s">
        <v>981</v>
      </c>
      <c r="C11" s="12" t="s">
        <v>224</v>
      </c>
      <c r="D11" s="245" t="s">
        <v>557</v>
      </c>
      <c r="E11" s="262">
        <v>0</v>
      </c>
      <c r="F11" s="330">
        <v>2</v>
      </c>
      <c r="G11" s="335">
        <v>0</v>
      </c>
      <c r="H11" s="346">
        <v>0.1</v>
      </c>
      <c r="I11" s="346">
        <v>0.17</v>
      </c>
      <c r="J11" s="347">
        <v>0.28000000000000003</v>
      </c>
      <c r="K11" s="332" t="s">
        <v>1992</v>
      </c>
      <c r="L11" s="341">
        <v>79</v>
      </c>
      <c r="M11" s="258">
        <v>5.69</v>
      </c>
      <c r="N11" s="254" t="s">
        <v>976</v>
      </c>
      <c r="O11" s="263">
        <v>6.6</v>
      </c>
      <c r="P11" s="264">
        <v>4</v>
      </c>
      <c r="Q11" s="265">
        <v>1.6</v>
      </c>
      <c r="R11" s="259">
        <v>18.600000000000001</v>
      </c>
      <c r="S11" s="260"/>
      <c r="T11" s="261">
        <v>7.5</v>
      </c>
      <c r="U11" s="13"/>
    </row>
    <row r="12" spans="1:21" ht="36.75" customHeight="1" x14ac:dyDescent="0.3">
      <c r="A12" s="68" t="s">
        <v>742</v>
      </c>
      <c r="B12" s="52" t="s">
        <v>982</v>
      </c>
      <c r="C12" s="12" t="s">
        <v>16</v>
      </c>
      <c r="D12" s="244" t="s">
        <v>741</v>
      </c>
      <c r="E12" s="262">
        <v>1</v>
      </c>
      <c r="F12" s="330">
        <v>2</v>
      </c>
      <c r="G12" s="335">
        <v>0</v>
      </c>
      <c r="H12" s="346">
        <v>0.05</v>
      </c>
      <c r="I12" s="346">
        <v>0.1</v>
      </c>
      <c r="J12" s="347">
        <v>0.16</v>
      </c>
      <c r="K12" s="334" t="s">
        <v>1981</v>
      </c>
      <c r="L12" s="269">
        <v>0</v>
      </c>
      <c r="M12" s="258"/>
      <c r="N12" s="254"/>
      <c r="O12" s="251">
        <v>6.7</v>
      </c>
      <c r="P12" s="252">
        <v>5.8</v>
      </c>
      <c r="Q12" s="253">
        <v>5.3</v>
      </c>
      <c r="R12" s="259" t="s">
        <v>983</v>
      </c>
      <c r="S12" s="260" t="s">
        <v>983</v>
      </c>
      <c r="T12" s="261">
        <v>8</v>
      </c>
      <c r="U12" s="13"/>
    </row>
    <row r="13" spans="1:21" ht="36.75" customHeight="1" x14ac:dyDescent="0.3">
      <c r="A13" s="68" t="s">
        <v>318</v>
      </c>
      <c r="B13" s="52" t="s">
        <v>975</v>
      </c>
      <c r="C13" s="12" t="s">
        <v>107</v>
      </c>
      <c r="D13" s="245" t="s">
        <v>317</v>
      </c>
      <c r="E13" s="262">
        <v>0</v>
      </c>
      <c r="F13" s="333">
        <v>0</v>
      </c>
      <c r="G13" s="335">
        <v>0</v>
      </c>
      <c r="H13" s="346">
        <v>0.1</v>
      </c>
      <c r="I13" s="346">
        <v>0.14000000000000001</v>
      </c>
      <c r="J13" s="347">
        <v>0.11</v>
      </c>
      <c r="K13" s="334" t="s">
        <v>1982</v>
      </c>
      <c r="L13" s="341">
        <v>50</v>
      </c>
      <c r="M13" s="258"/>
      <c r="N13" s="254" t="s">
        <v>978</v>
      </c>
      <c r="O13" s="266"/>
      <c r="P13" s="267"/>
      <c r="Q13" s="268"/>
      <c r="R13" s="259"/>
      <c r="S13" s="260"/>
      <c r="T13" s="261" t="s">
        <v>979</v>
      </c>
      <c r="U13" s="13" t="s">
        <v>977</v>
      </c>
    </row>
    <row r="14" spans="1:21" ht="36.75" customHeight="1" x14ac:dyDescent="0.3">
      <c r="A14" s="68" t="s">
        <v>840</v>
      </c>
      <c r="B14" s="52" t="s">
        <v>982</v>
      </c>
      <c r="C14" s="12" t="s">
        <v>164</v>
      </c>
      <c r="D14" s="244" t="s">
        <v>839</v>
      </c>
      <c r="E14" s="262">
        <v>0</v>
      </c>
      <c r="F14" s="333">
        <v>0</v>
      </c>
      <c r="G14" s="335">
        <v>0</v>
      </c>
      <c r="H14" s="346">
        <v>0.15</v>
      </c>
      <c r="I14" s="346">
        <v>0.17</v>
      </c>
      <c r="J14" s="347">
        <v>0.31</v>
      </c>
      <c r="K14" s="334" t="s">
        <v>1983</v>
      </c>
      <c r="L14" s="269">
        <v>33.299999999999997</v>
      </c>
      <c r="M14" s="250"/>
      <c r="N14" s="254" t="s">
        <v>976</v>
      </c>
      <c r="O14" s="251"/>
      <c r="P14" s="252">
        <v>4.05</v>
      </c>
      <c r="Q14" s="253">
        <v>2</v>
      </c>
      <c r="R14" s="259" t="s">
        <v>985</v>
      </c>
      <c r="S14" s="260"/>
      <c r="T14" s="261">
        <v>30.7</v>
      </c>
      <c r="U14" s="13"/>
    </row>
    <row r="15" spans="1:21" ht="36.75" customHeight="1" thickBot="1" x14ac:dyDescent="0.35">
      <c r="A15" s="69" t="s">
        <v>564</v>
      </c>
      <c r="B15" s="65" t="s">
        <v>981</v>
      </c>
      <c r="C15" s="9" t="s">
        <v>233</v>
      </c>
      <c r="D15" s="247" t="s">
        <v>563</v>
      </c>
      <c r="E15" s="336">
        <v>0</v>
      </c>
      <c r="F15" s="337">
        <v>0</v>
      </c>
      <c r="G15" s="338">
        <v>0</v>
      </c>
      <c r="H15" s="348">
        <v>0.1</v>
      </c>
      <c r="I15" s="348">
        <v>0.06</v>
      </c>
      <c r="J15" s="349">
        <v>0</v>
      </c>
      <c r="K15" s="339" t="s">
        <v>1984</v>
      </c>
      <c r="L15" s="270">
        <v>13.3</v>
      </c>
      <c r="M15" s="271"/>
      <c r="N15" s="275"/>
      <c r="O15" s="272"/>
      <c r="P15" s="273">
        <v>3.88</v>
      </c>
      <c r="Q15" s="274">
        <v>7.2</v>
      </c>
      <c r="R15" s="276"/>
      <c r="S15" s="277"/>
      <c r="T15" s="278" t="s">
        <v>979</v>
      </c>
      <c r="U15" s="10"/>
    </row>
    <row r="16" spans="1:21" x14ac:dyDescent="0.3">
      <c r="A16" s="55"/>
      <c r="D16" s="53"/>
      <c r="E16" s="53"/>
      <c r="F16" s="53"/>
      <c r="G16" s="53"/>
      <c r="H16" s="53"/>
      <c r="I16" s="53"/>
      <c r="J16" s="53"/>
      <c r="K16" s="53"/>
      <c r="L16" s="54"/>
      <c r="M16" s="54"/>
      <c r="O16" s="53"/>
      <c r="P16" s="53"/>
      <c r="Q16" s="53"/>
    </row>
    <row r="17" spans="1:21" s="53" customFormat="1" ht="16" x14ac:dyDescent="0.3">
      <c r="A17" s="66" t="s">
        <v>1813</v>
      </c>
      <c r="B17" s="46"/>
      <c r="C17" s="46"/>
      <c r="L17" s="54"/>
      <c r="M17" s="54"/>
      <c r="S17" s="54"/>
      <c r="T17" s="54"/>
      <c r="U17" s="54"/>
    </row>
    <row r="18" spans="1:21" s="53" customFormat="1" ht="21.75" customHeight="1" x14ac:dyDescent="0.3">
      <c r="A18" s="66" t="s">
        <v>2000</v>
      </c>
      <c r="B18" s="46"/>
      <c r="C18" s="46"/>
      <c r="L18" s="54"/>
      <c r="M18" s="54"/>
      <c r="S18" s="54"/>
      <c r="T18" s="54"/>
      <c r="U18" s="54"/>
    </row>
    <row r="19" spans="1:21" s="53" customFormat="1" ht="21.75" customHeight="1" x14ac:dyDescent="0.3">
      <c r="A19" s="66"/>
      <c r="B19" s="46"/>
      <c r="C19" s="46"/>
      <c r="L19" s="54"/>
      <c r="M19" s="54"/>
      <c r="S19" s="54"/>
      <c r="T19" s="54"/>
      <c r="U19" s="54"/>
    </row>
    <row r="20" spans="1:21" s="53" customFormat="1" ht="16" x14ac:dyDescent="0.3">
      <c r="A20" s="66" t="s">
        <v>2001</v>
      </c>
      <c r="B20" s="46"/>
      <c r="C20" s="46"/>
      <c r="L20" s="54"/>
      <c r="M20" s="54"/>
      <c r="S20" s="54"/>
      <c r="T20" s="54"/>
      <c r="U20" s="54"/>
    </row>
    <row r="21" spans="1:21" s="53" customFormat="1" ht="17.25" customHeight="1" x14ac:dyDescent="0.3">
      <c r="A21" s="66"/>
      <c r="B21" s="46"/>
      <c r="C21" s="46"/>
      <c r="L21" s="54"/>
      <c r="M21" s="54"/>
      <c r="N21" s="56"/>
      <c r="S21" s="54"/>
      <c r="T21" s="54"/>
      <c r="U21" s="54"/>
    </row>
    <row r="22" spans="1:21" s="58" customFormat="1" ht="15" customHeight="1" x14ac:dyDescent="0.3">
      <c r="A22" s="67" t="s">
        <v>1814</v>
      </c>
      <c r="B22" s="57"/>
      <c r="C22" s="57"/>
      <c r="L22" s="59"/>
      <c r="M22" s="59"/>
      <c r="N22" s="60"/>
      <c r="S22" s="59"/>
      <c r="T22" s="59"/>
      <c r="U22" s="59"/>
    </row>
    <row r="23" spans="1:21" s="53" customFormat="1" ht="9" customHeight="1" x14ac:dyDescent="0.3">
      <c r="A23" s="66"/>
      <c r="B23" s="46"/>
      <c r="C23" s="46"/>
      <c r="L23" s="54"/>
      <c r="M23" s="54"/>
      <c r="N23" s="56"/>
      <c r="S23" s="54"/>
      <c r="T23" s="54"/>
      <c r="U23" s="54"/>
    </row>
    <row r="24" spans="1:21" s="53" customFormat="1" ht="28" x14ac:dyDescent="0.6">
      <c r="A24" s="66" t="s">
        <v>1815</v>
      </c>
      <c r="B24" s="46"/>
      <c r="C24" s="46"/>
      <c r="G24" s="279"/>
      <c r="H24" s="280"/>
      <c r="I24" s="280"/>
      <c r="J24" s="280"/>
      <c r="K24" s="280"/>
      <c r="L24" s="281" t="s">
        <v>1995</v>
      </c>
      <c r="M24" s="54"/>
      <c r="N24" s="56"/>
      <c r="S24" s="54"/>
      <c r="T24" s="54"/>
      <c r="U24" s="54"/>
    </row>
    <row r="25" spans="1:21" s="53" customFormat="1" x14ac:dyDescent="0.3">
      <c r="A25" s="64" t="s">
        <v>994</v>
      </c>
      <c r="B25" s="46"/>
      <c r="C25" s="46"/>
      <c r="L25" s="54"/>
      <c r="M25" s="54"/>
      <c r="S25" s="54"/>
      <c r="T25" s="54"/>
      <c r="U25" s="54"/>
    </row>
    <row r="26" spans="1:21" s="53" customFormat="1" x14ac:dyDescent="0.3">
      <c r="A26" s="46"/>
      <c r="B26" s="46"/>
      <c r="C26" s="46"/>
      <c r="L26" s="54"/>
      <c r="M26" s="54"/>
      <c r="S26" s="54"/>
      <c r="T26" s="54"/>
      <c r="U26" s="54"/>
    </row>
    <row r="27" spans="1:21" s="53" customFormat="1" x14ac:dyDescent="0.3">
      <c r="A27" s="46"/>
      <c r="B27" s="46"/>
      <c r="C27" s="46"/>
      <c r="L27" s="54"/>
      <c r="M27" s="54"/>
      <c r="S27" s="54"/>
      <c r="T27" s="54"/>
      <c r="U27" s="54"/>
    </row>
    <row r="28" spans="1:21" s="53" customFormat="1" x14ac:dyDescent="0.3">
      <c r="A28" s="46"/>
      <c r="B28" s="46"/>
      <c r="C28" s="46"/>
      <c r="L28" s="54"/>
      <c r="M28" s="54"/>
      <c r="S28" s="54"/>
      <c r="T28" s="54"/>
      <c r="U28" s="54"/>
    </row>
    <row r="29" spans="1:21" s="53" customFormat="1" x14ac:dyDescent="0.3">
      <c r="A29" s="46"/>
      <c r="B29" s="46"/>
      <c r="C29" s="46"/>
      <c r="L29" s="54"/>
      <c r="M29" s="54"/>
      <c r="S29" s="54"/>
      <c r="T29" s="54"/>
      <c r="U29" s="54"/>
    </row>
    <row r="30" spans="1:21" s="53" customFormat="1" x14ac:dyDescent="0.3">
      <c r="A30" s="46"/>
      <c r="B30" s="46"/>
      <c r="C30" s="46"/>
      <c r="L30" s="54"/>
      <c r="M30" s="54"/>
      <c r="S30" s="54"/>
      <c r="T30" s="54"/>
      <c r="U30" s="54"/>
    </row>
  </sheetData>
  <mergeCells count="4">
    <mergeCell ref="O1:Q1"/>
    <mergeCell ref="L1:M1"/>
    <mergeCell ref="R1:T1"/>
    <mergeCell ref="E1:K1"/>
  </mergeCells>
  <conditionalFormatting sqref="K2">
    <cfRule type="colorScale" priority="61">
      <colorScale>
        <cfvo type="num" val="0"/>
        <cfvo type="num" val="0.4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F406"/>
  <sheetViews>
    <sheetView topLeftCell="C1" zoomScale="40" zoomScaleNormal="40" workbookViewId="0">
      <pane ySplit="680" topLeftCell="A4" activePane="bottomLeft"/>
      <selection activeCell="K1" sqref="K1"/>
      <selection pane="bottomLeft" activeCell="G6" sqref="G6"/>
    </sheetView>
  </sheetViews>
  <sheetFormatPr defaultColWidth="11.453125" defaultRowHeight="67.5" customHeight="1" x14ac:dyDescent="0.5"/>
  <cols>
    <col min="1" max="1" width="28.1796875" style="286" customWidth="1"/>
    <col min="2" max="2" width="46.54296875" style="302" customWidth="1"/>
    <col min="3" max="3" width="29.54296875" style="286" customWidth="1"/>
    <col min="4" max="4" width="41" style="302" customWidth="1"/>
    <col min="5" max="7" width="31.453125" style="538" customWidth="1"/>
    <col min="8" max="10" width="33.54296875" style="538" customWidth="1"/>
    <col min="11" max="11" width="31.453125" style="538" customWidth="1"/>
    <col min="12" max="12" width="11.453125" style="538"/>
    <col min="13" max="13" width="11.453125" style="539"/>
    <col min="14" max="14" width="28.453125" style="539" customWidth="1"/>
    <col min="15" max="15" width="19.1796875" style="539" customWidth="1"/>
    <col min="16" max="16" width="29.54296875" style="539" customWidth="1"/>
    <col min="17" max="17" width="14.54296875" style="539" customWidth="1"/>
    <col min="18" max="18" width="45.1796875" style="539" customWidth="1"/>
    <col min="19" max="20" width="11.453125" style="539"/>
    <col min="21" max="21" width="31.54296875" style="539" customWidth="1"/>
    <col min="22" max="22" width="14.1796875" style="539" bestFit="1" customWidth="1"/>
    <col min="23" max="25" width="11.453125" style="539"/>
    <col min="26" max="26" width="22.453125" style="539" bestFit="1" customWidth="1"/>
    <col min="27" max="27" width="14.1796875" style="539" bestFit="1" customWidth="1"/>
    <col min="28" max="32" width="11.453125" style="539"/>
    <col min="33" max="16384" width="11.453125" style="538"/>
  </cols>
  <sheetData>
    <row r="1" spans="1:21" ht="67.5" customHeight="1" thickBot="1" x14ac:dyDescent="0.55000000000000004">
      <c r="A1" s="284" t="s">
        <v>3</v>
      </c>
      <c r="B1" s="284" t="s">
        <v>913</v>
      </c>
      <c r="C1" s="284" t="s">
        <v>4</v>
      </c>
      <c r="D1" s="284" t="s">
        <v>5</v>
      </c>
      <c r="E1" s="535" t="s">
        <v>986</v>
      </c>
      <c r="F1" s="536" t="s">
        <v>987</v>
      </c>
      <c r="G1" s="536" t="s">
        <v>988</v>
      </c>
      <c r="H1" s="535" t="s">
        <v>2023</v>
      </c>
      <c r="I1" s="536" t="s">
        <v>2024</v>
      </c>
      <c r="J1" s="537" t="s">
        <v>1962</v>
      </c>
      <c r="K1" s="537" t="s">
        <v>2015</v>
      </c>
    </row>
    <row r="2" spans="1:21" ht="67.5" customHeight="1" x14ac:dyDescent="0.5">
      <c r="A2" s="288" t="s">
        <v>730</v>
      </c>
      <c r="B2" s="540" t="s">
        <v>938</v>
      </c>
      <c r="C2" s="541" t="s">
        <v>731</v>
      </c>
      <c r="D2" s="294"/>
      <c r="E2" s="542">
        <v>0</v>
      </c>
      <c r="F2" s="543">
        <v>0.5</v>
      </c>
      <c r="G2" s="544">
        <v>0</v>
      </c>
      <c r="H2" s="542">
        <v>0</v>
      </c>
      <c r="I2" s="543">
        <v>0</v>
      </c>
      <c r="J2" s="544">
        <v>3.7037037037037125E-2</v>
      </c>
      <c r="K2" s="545">
        <v>0</v>
      </c>
      <c r="M2" s="546"/>
      <c r="N2" s="547"/>
      <c r="O2" s="547"/>
      <c r="P2" s="547"/>
    </row>
    <row r="3" spans="1:21" ht="67.5" customHeight="1" x14ac:dyDescent="0.5">
      <c r="A3" s="288" t="s">
        <v>537</v>
      </c>
      <c r="B3" s="540" t="s">
        <v>938</v>
      </c>
      <c r="C3" s="541" t="s">
        <v>538</v>
      </c>
      <c r="D3" s="295"/>
      <c r="E3" s="542">
        <v>0</v>
      </c>
      <c r="F3" s="543">
        <v>0</v>
      </c>
      <c r="G3" s="544">
        <v>0</v>
      </c>
      <c r="H3" s="542">
        <v>0</v>
      </c>
      <c r="I3" s="543">
        <v>0</v>
      </c>
      <c r="J3" s="544">
        <v>0</v>
      </c>
      <c r="K3" s="548">
        <v>0</v>
      </c>
      <c r="M3" s="546"/>
      <c r="N3" s="547"/>
      <c r="O3" s="547"/>
      <c r="P3" s="547"/>
    </row>
    <row r="4" spans="1:21" ht="67.5" customHeight="1" x14ac:dyDescent="0.5">
      <c r="A4" s="288" t="s">
        <v>495</v>
      </c>
      <c r="B4" s="540" t="s">
        <v>938</v>
      </c>
      <c r="C4" s="541" t="s">
        <v>496</v>
      </c>
      <c r="D4" s="295"/>
      <c r="E4" s="542">
        <v>0</v>
      </c>
      <c r="F4" s="543">
        <v>0</v>
      </c>
      <c r="G4" s="544">
        <v>0</v>
      </c>
      <c r="H4" s="542">
        <v>0</v>
      </c>
      <c r="I4" s="543">
        <v>0.23611111111111102</v>
      </c>
      <c r="J4" s="544">
        <v>8.3333333333333329E-2</v>
      </c>
      <c r="K4" s="548">
        <v>0</v>
      </c>
    </row>
    <row r="5" spans="1:21" ht="67.5" customHeight="1" x14ac:dyDescent="0.5">
      <c r="A5" s="288" t="s">
        <v>652</v>
      </c>
      <c r="B5" s="540" t="s">
        <v>938</v>
      </c>
      <c r="C5" s="541" t="s">
        <v>653</v>
      </c>
      <c r="D5" s="295"/>
      <c r="E5" s="542">
        <v>0</v>
      </c>
      <c r="F5" s="543">
        <v>0</v>
      </c>
      <c r="G5" s="544">
        <v>0</v>
      </c>
      <c r="H5" s="542">
        <v>0</v>
      </c>
      <c r="I5" s="543">
        <v>0.45945945945945937</v>
      </c>
      <c r="J5" s="544">
        <v>0.51515151515151514</v>
      </c>
      <c r="K5" s="548">
        <v>0</v>
      </c>
      <c r="N5" s="540" t="s">
        <v>1943</v>
      </c>
      <c r="O5" s="549" t="s">
        <v>904</v>
      </c>
      <c r="P5" s="549" t="s">
        <v>1812</v>
      </c>
      <c r="Q5" s="549" t="s">
        <v>1811</v>
      </c>
    </row>
    <row r="6" spans="1:21" ht="67.5" customHeight="1" x14ac:dyDescent="0.5">
      <c r="A6" s="288" t="s">
        <v>515</v>
      </c>
      <c r="B6" s="540" t="s">
        <v>938</v>
      </c>
      <c r="C6" s="541" t="s">
        <v>516</v>
      </c>
      <c r="D6" s="295"/>
      <c r="E6" s="542">
        <v>0</v>
      </c>
      <c r="F6" s="543">
        <v>0</v>
      </c>
      <c r="G6" s="544">
        <v>0</v>
      </c>
      <c r="H6" s="542">
        <v>0</v>
      </c>
      <c r="I6" s="543">
        <v>0</v>
      </c>
      <c r="J6" s="544">
        <v>0</v>
      </c>
      <c r="K6" s="548">
        <v>0</v>
      </c>
      <c r="N6" s="549" t="s">
        <v>901</v>
      </c>
      <c r="O6" s="550">
        <f>PEARSON(E2:E401,H2:H401)</f>
        <v>0.60795190998796889</v>
      </c>
    </row>
    <row r="7" spans="1:21" ht="67.5" customHeight="1" x14ac:dyDescent="0.5">
      <c r="A7" s="288" t="s">
        <v>712</v>
      </c>
      <c r="B7" s="540" t="s">
        <v>938</v>
      </c>
      <c r="C7" s="541" t="s">
        <v>713</v>
      </c>
      <c r="D7" s="295"/>
      <c r="E7" s="542">
        <v>0</v>
      </c>
      <c r="F7" s="543">
        <v>0</v>
      </c>
      <c r="G7" s="544">
        <v>0</v>
      </c>
      <c r="H7" s="542">
        <v>0</v>
      </c>
      <c r="I7" s="543">
        <v>0</v>
      </c>
      <c r="J7" s="544">
        <v>0</v>
      </c>
      <c r="K7" s="548">
        <v>0</v>
      </c>
      <c r="N7" s="549" t="s">
        <v>906</v>
      </c>
      <c r="O7" s="550">
        <f>PEARSON(F2:F401,I2:I401)</f>
        <v>0.63421476387044617</v>
      </c>
      <c r="P7" s="549"/>
    </row>
    <row r="8" spans="1:21" ht="67.5" customHeight="1" x14ac:dyDescent="0.5">
      <c r="A8" s="288" t="s">
        <v>535</v>
      </c>
      <c r="B8" s="540" t="s">
        <v>938</v>
      </c>
      <c r="C8" s="541" t="s">
        <v>536</v>
      </c>
      <c r="D8" s="295"/>
      <c r="E8" s="542">
        <v>0</v>
      </c>
      <c r="F8" s="543">
        <v>0</v>
      </c>
      <c r="G8" s="544">
        <v>0</v>
      </c>
      <c r="H8" s="542">
        <v>0</v>
      </c>
      <c r="I8" s="543">
        <v>0</v>
      </c>
      <c r="J8" s="544">
        <v>0</v>
      </c>
      <c r="K8" s="548">
        <v>0</v>
      </c>
      <c r="N8" s="549" t="s">
        <v>912</v>
      </c>
      <c r="O8" s="550">
        <f>PEARSON(G2:G401,J2:J401)</f>
        <v>0.68273864221019498</v>
      </c>
      <c r="P8" s="550">
        <f>PEARSON(G2:G401,K2:K401)</f>
        <v>0.4555992041272055</v>
      </c>
      <c r="Q8" s="550">
        <f>PEARSON(J2:J401,K2:K401)</f>
        <v>0.502493697672589</v>
      </c>
    </row>
    <row r="9" spans="1:21" ht="67.5" customHeight="1" x14ac:dyDescent="0.5">
      <c r="A9" s="288" t="s">
        <v>783</v>
      </c>
      <c r="B9" s="540" t="s">
        <v>938</v>
      </c>
      <c r="C9" s="541" t="s">
        <v>784</v>
      </c>
      <c r="D9" s="295"/>
      <c r="E9" s="542">
        <v>0</v>
      </c>
      <c r="F9" s="543">
        <v>0</v>
      </c>
      <c r="G9" s="544">
        <v>0</v>
      </c>
      <c r="H9" s="542">
        <v>1.5789473684210468E-2</v>
      </c>
      <c r="I9" s="543">
        <v>2.7777777777777679E-2</v>
      </c>
      <c r="J9" s="544">
        <v>0.5</v>
      </c>
      <c r="K9" s="548">
        <v>3.7187924938597156E-2</v>
      </c>
    </row>
    <row r="10" spans="1:21" ht="67.5" customHeight="1" x14ac:dyDescent="0.5">
      <c r="A10" s="288" t="s">
        <v>361</v>
      </c>
      <c r="B10" s="540" t="s">
        <v>938</v>
      </c>
      <c r="C10" s="541" t="s">
        <v>362</v>
      </c>
      <c r="D10" s="295"/>
      <c r="E10" s="542">
        <v>0</v>
      </c>
      <c r="F10" s="543">
        <v>0</v>
      </c>
      <c r="G10" s="544">
        <v>0</v>
      </c>
      <c r="H10" s="542">
        <v>7.3684210526315755E-2</v>
      </c>
      <c r="I10" s="543">
        <v>5.4054054054054022E-2</v>
      </c>
      <c r="J10" s="544">
        <v>0.18518518518518512</v>
      </c>
      <c r="K10" s="548">
        <v>0.13269227901171352</v>
      </c>
    </row>
    <row r="11" spans="1:21" ht="67.5" customHeight="1" x14ac:dyDescent="0.5">
      <c r="A11" s="288" t="s">
        <v>260</v>
      </c>
      <c r="B11" s="540" t="s">
        <v>938</v>
      </c>
      <c r="C11" s="541" t="s">
        <v>261</v>
      </c>
      <c r="D11" s="295"/>
      <c r="E11" s="542">
        <v>0</v>
      </c>
      <c r="F11" s="543">
        <v>0</v>
      </c>
      <c r="G11" s="544">
        <v>0</v>
      </c>
      <c r="H11" s="542">
        <v>0</v>
      </c>
      <c r="I11" s="543">
        <v>0</v>
      </c>
      <c r="J11" s="544">
        <v>0.18518518518518512</v>
      </c>
      <c r="K11" s="548">
        <v>0.41970790444031408</v>
      </c>
      <c r="N11" s="549" t="s">
        <v>1944</v>
      </c>
    </row>
    <row r="12" spans="1:21" ht="67.5" customHeight="1" x14ac:dyDescent="0.5">
      <c r="A12" s="289" t="s">
        <v>321</v>
      </c>
      <c r="B12" s="551" t="s">
        <v>938</v>
      </c>
      <c r="C12" s="552" t="s">
        <v>322</v>
      </c>
      <c r="D12" s="296" t="s">
        <v>942</v>
      </c>
      <c r="E12" s="553">
        <v>0</v>
      </c>
      <c r="F12" s="554">
        <v>0</v>
      </c>
      <c r="G12" s="555">
        <v>0</v>
      </c>
      <c r="H12" s="553">
        <v>0</v>
      </c>
      <c r="I12" s="554">
        <v>0</v>
      </c>
      <c r="J12" s="555">
        <v>0</v>
      </c>
      <c r="K12" s="556">
        <v>0.23956347923885385</v>
      </c>
      <c r="N12" s="549" t="s">
        <v>901</v>
      </c>
      <c r="O12" s="557" t="s">
        <v>1945</v>
      </c>
    </row>
    <row r="13" spans="1:21" ht="67.5" customHeight="1" x14ac:dyDescent="0.5">
      <c r="A13" s="288" t="s">
        <v>222</v>
      </c>
      <c r="B13" s="540" t="s">
        <v>923</v>
      </c>
      <c r="C13" s="541" t="s">
        <v>223</v>
      </c>
      <c r="D13" s="295"/>
      <c r="E13" s="542">
        <v>0.25</v>
      </c>
      <c r="F13" s="543">
        <v>0.25</v>
      </c>
      <c r="G13" s="544">
        <v>0.25</v>
      </c>
      <c r="H13" s="542">
        <v>0.31578947368421045</v>
      </c>
      <c r="I13" s="543">
        <v>0.31249999999999989</v>
      </c>
      <c r="J13" s="544">
        <v>0.27272727272727382</v>
      </c>
      <c r="K13" s="548">
        <v>3.5948429777129319E-3</v>
      </c>
      <c r="N13" s="549"/>
      <c r="O13" s="558" t="s">
        <v>1946</v>
      </c>
      <c r="P13" s="559">
        <f t="array" ref="P13:Q17">LINEST(E2:E401,H2:H401,TRUE,TRUE)</f>
        <v>0.69822539175577392</v>
      </c>
      <c r="Q13" s="560">
        <v>8.2430140333059787E-2</v>
      </c>
      <c r="R13" s="561" t="s">
        <v>1950</v>
      </c>
      <c r="T13" s="562" t="s">
        <v>1954</v>
      </c>
      <c r="U13" s="563">
        <f>FDIST(P16,1,Q16)</f>
        <v>8.6874269830269665E-42</v>
      </c>
    </row>
    <row r="14" spans="1:21" ht="67.5" customHeight="1" x14ac:dyDescent="0.5">
      <c r="A14" s="288" t="s">
        <v>775</v>
      </c>
      <c r="B14" s="540" t="s">
        <v>923</v>
      </c>
      <c r="C14" s="541" t="s">
        <v>776</v>
      </c>
      <c r="D14" s="295"/>
      <c r="E14" s="542">
        <v>0.75</v>
      </c>
      <c r="F14" s="543">
        <v>1</v>
      </c>
      <c r="G14" s="544">
        <v>1</v>
      </c>
      <c r="H14" s="542">
        <v>0</v>
      </c>
      <c r="I14" s="543">
        <v>0</v>
      </c>
      <c r="J14" s="544">
        <v>0</v>
      </c>
      <c r="K14" s="548">
        <v>0.19867027785113994</v>
      </c>
      <c r="N14" s="549"/>
      <c r="O14" s="564" t="s">
        <v>1947</v>
      </c>
      <c r="P14" s="565">
        <v>4.5707879551837936E-2</v>
      </c>
      <c r="Q14" s="566">
        <v>1.2617604299255434E-2</v>
      </c>
      <c r="R14" s="567" t="s">
        <v>1947</v>
      </c>
      <c r="T14" s="568"/>
    </row>
    <row r="15" spans="1:21" ht="67.5" customHeight="1" x14ac:dyDescent="0.5">
      <c r="A15" s="288" t="s">
        <v>17</v>
      </c>
      <c r="B15" s="540" t="s">
        <v>923</v>
      </c>
      <c r="C15" s="541" t="s">
        <v>18</v>
      </c>
      <c r="D15" s="295"/>
      <c r="E15" s="542">
        <v>0</v>
      </c>
      <c r="F15" s="543">
        <v>0</v>
      </c>
      <c r="G15" s="544">
        <v>0</v>
      </c>
      <c r="H15" s="542">
        <v>5.2631578947368286E-2</v>
      </c>
      <c r="I15" s="543">
        <v>0</v>
      </c>
      <c r="J15" s="544">
        <v>0</v>
      </c>
      <c r="K15" s="548">
        <v>0</v>
      </c>
      <c r="O15" s="569" t="s">
        <v>1948</v>
      </c>
      <c r="P15" s="565">
        <v>0.36960552485802239</v>
      </c>
      <c r="Q15" s="566">
        <v>0.22763397819300293</v>
      </c>
      <c r="R15" s="570" t="s">
        <v>1951</v>
      </c>
    </row>
    <row r="16" spans="1:21" ht="67.5" customHeight="1" x14ac:dyDescent="0.5">
      <c r="A16" s="288" t="s">
        <v>855</v>
      </c>
      <c r="B16" s="540" t="s">
        <v>923</v>
      </c>
      <c r="C16" s="541" t="s">
        <v>856</v>
      </c>
      <c r="D16" s="295"/>
      <c r="E16" s="542">
        <v>0</v>
      </c>
      <c r="F16" s="543">
        <v>0.5</v>
      </c>
      <c r="G16" s="544">
        <v>1</v>
      </c>
      <c r="H16" s="542">
        <v>0.13157894736842102</v>
      </c>
      <c r="I16" s="543">
        <v>0.44444444444444442</v>
      </c>
      <c r="J16" s="544">
        <v>1</v>
      </c>
      <c r="K16" s="548">
        <v>0</v>
      </c>
      <c r="L16" s="571"/>
      <c r="O16" s="569" t="s">
        <v>1809</v>
      </c>
      <c r="P16" s="565">
        <v>233.35071085507582</v>
      </c>
      <c r="Q16" s="566">
        <v>398</v>
      </c>
      <c r="R16" s="572" t="s">
        <v>1952</v>
      </c>
    </row>
    <row r="17" spans="1:28" ht="67.5" customHeight="1" x14ac:dyDescent="0.5">
      <c r="A17" s="288" t="s">
        <v>533</v>
      </c>
      <c r="B17" s="540" t="s">
        <v>923</v>
      </c>
      <c r="C17" s="573" t="s">
        <v>534</v>
      </c>
      <c r="D17" s="295"/>
      <c r="E17" s="542">
        <v>0</v>
      </c>
      <c r="F17" s="543">
        <v>0</v>
      </c>
      <c r="G17" s="544">
        <v>0</v>
      </c>
      <c r="H17" s="542">
        <v>2.4930747922437709E-2</v>
      </c>
      <c r="I17" s="543">
        <v>0</v>
      </c>
      <c r="J17" s="544">
        <v>0</v>
      </c>
      <c r="K17" s="548">
        <v>0</v>
      </c>
      <c r="O17" s="574" t="s">
        <v>1949</v>
      </c>
      <c r="P17" s="575">
        <v>12.091586994866951</v>
      </c>
      <c r="Q17" s="576">
        <v>20.62325675513307</v>
      </c>
      <c r="R17" s="577" t="s">
        <v>1953</v>
      </c>
    </row>
    <row r="18" spans="1:28" ht="67.5" customHeight="1" x14ac:dyDescent="0.5">
      <c r="A18" s="290" t="s">
        <v>357</v>
      </c>
      <c r="B18" s="284" t="s">
        <v>931</v>
      </c>
      <c r="C18" s="578" t="s">
        <v>358</v>
      </c>
      <c r="D18" s="299" t="s">
        <v>932</v>
      </c>
      <c r="E18" s="579">
        <v>0</v>
      </c>
      <c r="F18" s="580">
        <v>0</v>
      </c>
      <c r="G18" s="581">
        <v>0</v>
      </c>
      <c r="H18" s="579">
        <v>1</v>
      </c>
      <c r="I18" s="580">
        <v>1</v>
      </c>
      <c r="J18" s="581">
        <v>1</v>
      </c>
      <c r="K18" s="582">
        <v>0.12037758166848071</v>
      </c>
    </row>
    <row r="19" spans="1:28" ht="67.5" customHeight="1" x14ac:dyDescent="0.5">
      <c r="A19" s="288" t="s">
        <v>867</v>
      </c>
      <c r="B19" s="540" t="s">
        <v>919</v>
      </c>
      <c r="C19" s="541" t="s">
        <v>868</v>
      </c>
      <c r="D19" s="295" t="s">
        <v>935</v>
      </c>
      <c r="E19" s="542">
        <v>0</v>
      </c>
      <c r="F19" s="543">
        <v>0</v>
      </c>
      <c r="G19" s="544">
        <v>0</v>
      </c>
      <c r="H19" s="542">
        <v>0</v>
      </c>
      <c r="I19" s="543">
        <v>0</v>
      </c>
      <c r="J19" s="544">
        <v>0.11111111111111123</v>
      </c>
      <c r="K19" s="548">
        <v>0.64236962469853309</v>
      </c>
      <c r="N19" s="549" t="s">
        <v>906</v>
      </c>
      <c r="O19" s="557" t="s">
        <v>1945</v>
      </c>
    </row>
    <row r="20" spans="1:28" ht="67.5" customHeight="1" x14ac:dyDescent="0.5">
      <c r="A20" s="288" t="s">
        <v>765</v>
      </c>
      <c r="B20" s="540" t="s">
        <v>919</v>
      </c>
      <c r="C20" s="541" t="s">
        <v>766</v>
      </c>
      <c r="D20" s="295"/>
      <c r="E20" s="542">
        <v>0</v>
      </c>
      <c r="F20" s="543">
        <v>0</v>
      </c>
      <c r="G20" s="544">
        <v>0</v>
      </c>
      <c r="H20" s="542">
        <v>0.36842105263157893</v>
      </c>
      <c r="I20" s="543">
        <v>0</v>
      </c>
      <c r="J20" s="544">
        <v>1.7543859649122789E-2</v>
      </c>
      <c r="K20" s="548">
        <v>0.20091859028460737</v>
      </c>
      <c r="N20" s="549"/>
      <c r="O20" s="558" t="s">
        <v>1946</v>
      </c>
      <c r="P20" s="559">
        <f t="array" ref="P20:Q24">LINEST(F2:F401,I2:I401,TRUE,TRUE)</f>
        <v>0.77692191759463403</v>
      </c>
      <c r="Q20" s="560">
        <v>6.2527710945752712E-2</v>
      </c>
      <c r="R20" s="561" t="s">
        <v>1950</v>
      </c>
      <c r="T20" s="562" t="s">
        <v>1954</v>
      </c>
      <c r="U20" s="563">
        <f>FDIST(P23,1,Q23)</f>
        <v>2.1301764256569274E-46</v>
      </c>
    </row>
    <row r="21" spans="1:28" ht="67.5" customHeight="1" x14ac:dyDescent="0.5">
      <c r="A21" s="288" t="s">
        <v>604</v>
      </c>
      <c r="B21" s="540" t="s">
        <v>919</v>
      </c>
      <c r="C21" s="541" t="s">
        <v>605</v>
      </c>
      <c r="D21" s="295"/>
      <c r="E21" s="542">
        <v>0</v>
      </c>
      <c r="F21" s="543">
        <v>0</v>
      </c>
      <c r="G21" s="544">
        <v>0</v>
      </c>
      <c r="H21" s="542">
        <v>1.5789473684210468E-2</v>
      </c>
      <c r="I21" s="543">
        <v>0.12162162162162156</v>
      </c>
      <c r="J21" s="544">
        <v>0</v>
      </c>
      <c r="K21" s="548">
        <v>0</v>
      </c>
      <c r="N21" s="549"/>
      <c r="O21" s="564" t="s">
        <v>1947</v>
      </c>
      <c r="P21" s="565">
        <v>4.7475236919911512E-2</v>
      </c>
      <c r="Q21" s="566">
        <v>1.5754421591312424E-2</v>
      </c>
      <c r="R21" s="567" t="s">
        <v>1947</v>
      </c>
      <c r="T21" s="568"/>
    </row>
    <row r="22" spans="1:28" ht="67.5" customHeight="1" x14ac:dyDescent="0.5">
      <c r="A22" s="288" t="s">
        <v>228</v>
      </c>
      <c r="B22" s="540" t="s">
        <v>919</v>
      </c>
      <c r="C22" s="541" t="s">
        <v>229</v>
      </c>
      <c r="D22" s="295"/>
      <c r="E22" s="542">
        <v>0</v>
      </c>
      <c r="F22" s="543">
        <v>0</v>
      </c>
      <c r="G22" s="544">
        <v>0</v>
      </c>
      <c r="H22" s="542">
        <v>0.31578947368421045</v>
      </c>
      <c r="I22" s="543">
        <v>0.31249999999999989</v>
      </c>
      <c r="J22" s="544">
        <v>0.3454545454545464</v>
      </c>
      <c r="K22" s="548">
        <v>0</v>
      </c>
      <c r="O22" s="569" t="s">
        <v>1948</v>
      </c>
      <c r="P22" s="565">
        <v>0.40222836671124285</v>
      </c>
      <c r="Q22" s="566">
        <v>0.27212007746276062</v>
      </c>
      <c r="R22" s="570" t="s">
        <v>1951</v>
      </c>
    </row>
    <row r="23" spans="1:28" ht="67.5" customHeight="1" x14ac:dyDescent="0.5">
      <c r="A23" s="288" t="s">
        <v>891</v>
      </c>
      <c r="B23" s="540" t="s">
        <v>919</v>
      </c>
      <c r="C23" s="541" t="s">
        <v>892</v>
      </c>
      <c r="D23" s="295"/>
      <c r="E23" s="542">
        <v>0</v>
      </c>
      <c r="F23" s="543">
        <v>0</v>
      </c>
      <c r="G23" s="544">
        <v>0</v>
      </c>
      <c r="H23" s="542">
        <v>0</v>
      </c>
      <c r="I23" s="543">
        <v>0</v>
      </c>
      <c r="J23" s="544">
        <v>0</v>
      </c>
      <c r="K23" s="548">
        <v>0</v>
      </c>
      <c r="O23" s="569" t="s">
        <v>1809</v>
      </c>
      <c r="P23" s="565">
        <v>267.80610024989886</v>
      </c>
      <c r="Q23" s="566">
        <v>398</v>
      </c>
      <c r="R23" s="572" t="s">
        <v>1952</v>
      </c>
    </row>
    <row r="24" spans="1:28" ht="67.5" customHeight="1" x14ac:dyDescent="0.5">
      <c r="A24" s="288" t="s">
        <v>198</v>
      </c>
      <c r="B24" s="540" t="s">
        <v>919</v>
      </c>
      <c r="C24" s="541" t="s">
        <v>199</v>
      </c>
      <c r="D24" s="295"/>
      <c r="E24" s="542">
        <v>0</v>
      </c>
      <c r="F24" s="543">
        <v>0</v>
      </c>
      <c r="G24" s="544">
        <v>0</v>
      </c>
      <c r="H24" s="542">
        <v>0.10526315789473689</v>
      </c>
      <c r="I24" s="543">
        <v>0</v>
      </c>
      <c r="J24" s="544">
        <v>0</v>
      </c>
      <c r="K24" s="548">
        <v>4.8515027688928694E-2</v>
      </c>
      <c r="O24" s="574" t="s">
        <v>1949</v>
      </c>
      <c r="P24" s="575">
        <v>19.830864049780992</v>
      </c>
      <c r="Q24" s="576">
        <v>29.471635950218861</v>
      </c>
      <c r="R24" s="577" t="s">
        <v>1953</v>
      </c>
    </row>
    <row r="25" spans="1:28" ht="67.5" customHeight="1" x14ac:dyDescent="0.5">
      <c r="A25" s="288" t="s">
        <v>171</v>
      </c>
      <c r="B25" s="540" t="s">
        <v>919</v>
      </c>
      <c r="C25" s="541" t="s">
        <v>172</v>
      </c>
      <c r="D25" s="295"/>
      <c r="E25" s="542">
        <v>0.25</v>
      </c>
      <c r="F25" s="543">
        <v>0</v>
      </c>
      <c r="G25" s="544">
        <v>0</v>
      </c>
      <c r="H25" s="542">
        <v>0</v>
      </c>
      <c r="I25" s="543">
        <v>0.12499999999999997</v>
      </c>
      <c r="J25" s="544">
        <v>0</v>
      </c>
      <c r="K25" s="548">
        <v>2.0203405903636926E-2</v>
      </c>
    </row>
    <row r="26" spans="1:28" ht="67.5" customHeight="1" x14ac:dyDescent="0.5">
      <c r="A26" s="288" t="s">
        <v>431</v>
      </c>
      <c r="B26" s="540" t="s">
        <v>919</v>
      </c>
      <c r="C26" s="541" t="s">
        <v>432</v>
      </c>
      <c r="D26" s="295"/>
      <c r="E26" s="542">
        <v>0</v>
      </c>
      <c r="F26" s="543">
        <v>0</v>
      </c>
      <c r="G26" s="544">
        <v>0</v>
      </c>
      <c r="H26" s="542">
        <v>0</v>
      </c>
      <c r="I26" s="543">
        <v>0</v>
      </c>
      <c r="J26" s="544">
        <v>0</v>
      </c>
      <c r="K26" s="548">
        <v>8.2238645982257247E-2</v>
      </c>
      <c r="N26" s="549" t="s">
        <v>912</v>
      </c>
      <c r="O26" s="557" t="s">
        <v>1945</v>
      </c>
      <c r="T26" s="557" t="s">
        <v>1955</v>
      </c>
      <c r="Y26" s="557" t="s">
        <v>1956</v>
      </c>
    </row>
    <row r="27" spans="1:28" ht="67.5" customHeight="1" x14ac:dyDescent="0.5">
      <c r="A27" s="288" t="s">
        <v>254</v>
      </c>
      <c r="B27" s="540" t="s">
        <v>919</v>
      </c>
      <c r="C27" s="541" t="s">
        <v>255</v>
      </c>
      <c r="D27" s="295"/>
      <c r="E27" s="542">
        <v>0</v>
      </c>
      <c r="F27" s="543">
        <v>0</v>
      </c>
      <c r="G27" s="544">
        <v>0</v>
      </c>
      <c r="H27" s="542">
        <v>0</v>
      </c>
      <c r="I27" s="543">
        <v>0</v>
      </c>
      <c r="J27" s="544">
        <v>0</v>
      </c>
      <c r="K27" s="548">
        <v>0.17088693176093461</v>
      </c>
      <c r="O27" s="558" t="s">
        <v>1946</v>
      </c>
      <c r="P27" s="559">
        <f t="array" ref="P27:Q31">LINEST(G2:G401,J2:J401,TRUE,TRUE)</f>
        <v>0.81492276447388678</v>
      </c>
      <c r="Q27" s="560">
        <v>4.5553234500221113E-2</v>
      </c>
      <c r="R27" s="561" t="s">
        <v>1950</v>
      </c>
      <c r="T27" s="558" t="s">
        <v>1946</v>
      </c>
      <c r="U27" s="559">
        <f t="array" ref="U27:V31">LINEST(G2:G401,K2:K401,TRUE,TRUE)</f>
        <v>0.66960535530990473</v>
      </c>
      <c r="V27" s="560">
        <v>0.10854826283864417</v>
      </c>
      <c r="W27" s="561" t="s">
        <v>1950</v>
      </c>
      <c r="Y27" s="558" t="s">
        <v>1946</v>
      </c>
      <c r="Z27" s="559">
        <f t="array" ref="Z27:AA31">LINEST(J2:J401,K2:K401,TRUE,TRUE)</f>
        <v>0.61873490260110009</v>
      </c>
      <c r="AA27" s="560">
        <v>0.10956533289584451</v>
      </c>
      <c r="AB27" s="561" t="s">
        <v>1950</v>
      </c>
    </row>
    <row r="28" spans="1:28" ht="67.5" customHeight="1" x14ac:dyDescent="0.5">
      <c r="A28" s="288" t="s">
        <v>869</v>
      </c>
      <c r="B28" s="540" t="s">
        <v>919</v>
      </c>
      <c r="C28" s="541" t="s">
        <v>870</v>
      </c>
      <c r="D28" s="295"/>
      <c r="E28" s="542">
        <v>0.25</v>
      </c>
      <c r="F28" s="543">
        <v>1</v>
      </c>
      <c r="G28" s="544">
        <v>1</v>
      </c>
      <c r="H28" s="542">
        <v>0</v>
      </c>
      <c r="I28" s="543">
        <v>0</v>
      </c>
      <c r="J28" s="544">
        <v>0.59595959595959591</v>
      </c>
      <c r="K28" s="548">
        <v>0.63977894961394466</v>
      </c>
      <c r="O28" s="564" t="s">
        <v>1947</v>
      </c>
      <c r="P28" s="565">
        <v>4.3715691538214835E-2</v>
      </c>
      <c r="Q28" s="566">
        <v>1.663545590439805E-2</v>
      </c>
      <c r="R28" s="567" t="s">
        <v>1947</v>
      </c>
      <c r="T28" s="564" t="s">
        <v>1947</v>
      </c>
      <c r="U28" s="565">
        <v>6.5580497360105044E-2</v>
      </c>
      <c r="V28" s="566">
        <v>1.9920431737172725E-2</v>
      </c>
      <c r="W28" s="567" t="s">
        <v>1947</v>
      </c>
      <c r="Y28" s="564" t="s">
        <v>1947</v>
      </c>
      <c r="Z28" s="565">
        <v>5.3362735291222825E-2</v>
      </c>
      <c r="AA28" s="566">
        <v>1.6209220247913037E-2</v>
      </c>
      <c r="AB28" s="567" t="s">
        <v>1947</v>
      </c>
    </row>
    <row r="29" spans="1:28" ht="67.5" customHeight="1" x14ac:dyDescent="0.5">
      <c r="A29" s="288" t="s">
        <v>710</v>
      </c>
      <c r="B29" s="540" t="s">
        <v>919</v>
      </c>
      <c r="C29" s="541" t="s">
        <v>711</v>
      </c>
      <c r="D29" s="295"/>
      <c r="E29" s="542">
        <v>0</v>
      </c>
      <c r="F29" s="543">
        <v>1</v>
      </c>
      <c r="G29" s="544">
        <v>1</v>
      </c>
      <c r="H29" s="542">
        <v>0</v>
      </c>
      <c r="I29" s="543">
        <v>0</v>
      </c>
      <c r="J29" s="544">
        <v>0.33333333333333331</v>
      </c>
      <c r="K29" s="619">
        <v>0.20961351397234235</v>
      </c>
      <c r="O29" s="569" t="s">
        <v>1948</v>
      </c>
      <c r="P29" s="565">
        <v>0.46613205356701748</v>
      </c>
      <c r="Q29" s="566">
        <v>0.27864958848705113</v>
      </c>
      <c r="R29" s="570" t="s">
        <v>1951</v>
      </c>
      <c r="T29" s="569" t="s">
        <v>1948</v>
      </c>
      <c r="U29" s="565">
        <v>0.20757063480133869</v>
      </c>
      <c r="V29" s="566">
        <v>0.33948591716162024</v>
      </c>
      <c r="W29" s="570" t="s">
        <v>1951</v>
      </c>
      <c r="Y29" s="569" t="s">
        <v>1948</v>
      </c>
      <c r="Z29" s="565">
        <v>0.25249991620067719</v>
      </c>
      <c r="AA29" s="566">
        <v>0.27623909335603919</v>
      </c>
      <c r="AB29" s="570" t="s">
        <v>1951</v>
      </c>
    </row>
    <row r="30" spans="1:28" ht="67.5" customHeight="1" x14ac:dyDescent="0.5">
      <c r="A30" s="288" t="s">
        <v>662</v>
      </c>
      <c r="B30" s="540" t="s">
        <v>919</v>
      </c>
      <c r="C30" s="541" t="s">
        <v>663</v>
      </c>
      <c r="D30" s="295"/>
      <c r="E30" s="542">
        <v>0</v>
      </c>
      <c r="F30" s="543">
        <v>0</v>
      </c>
      <c r="G30" s="544">
        <v>0</v>
      </c>
      <c r="H30" s="542">
        <v>1.5789473684210468E-2</v>
      </c>
      <c r="I30" s="543">
        <v>0</v>
      </c>
      <c r="J30" s="544">
        <v>0.11111111111111123</v>
      </c>
      <c r="K30" s="548">
        <v>0.86417106282365397</v>
      </c>
      <c r="O30" s="569" t="s">
        <v>1809</v>
      </c>
      <c r="P30" s="565">
        <v>347.50270841173591</v>
      </c>
      <c r="Q30" s="566">
        <v>398</v>
      </c>
      <c r="R30" s="572" t="s">
        <v>1952</v>
      </c>
      <c r="T30" s="569" t="s">
        <v>1809</v>
      </c>
      <c r="U30" s="565">
        <v>104.25296724108875</v>
      </c>
      <c r="V30" s="566">
        <v>398</v>
      </c>
      <c r="W30" s="572" t="s">
        <v>1952</v>
      </c>
      <c r="Y30" s="569" t="s">
        <v>1809</v>
      </c>
      <c r="Z30" s="565">
        <v>134.4414118819669</v>
      </c>
      <c r="AA30" s="566">
        <v>398</v>
      </c>
      <c r="AB30" s="572" t="s">
        <v>1952</v>
      </c>
    </row>
    <row r="31" spans="1:28" ht="67.5" customHeight="1" x14ac:dyDescent="0.5">
      <c r="A31" s="288" t="s">
        <v>632</v>
      </c>
      <c r="B31" s="540" t="s">
        <v>919</v>
      </c>
      <c r="C31" s="541" t="s">
        <v>633</v>
      </c>
      <c r="D31" s="295"/>
      <c r="E31" s="542">
        <v>0.25</v>
      </c>
      <c r="F31" s="543">
        <v>0.5</v>
      </c>
      <c r="G31" s="544">
        <v>1</v>
      </c>
      <c r="H31" s="542">
        <v>0</v>
      </c>
      <c r="I31" s="543">
        <v>0.39189189189189183</v>
      </c>
      <c r="J31" s="544">
        <v>0.19191919191919191</v>
      </c>
      <c r="K31" s="548">
        <v>0.28595913035118464</v>
      </c>
      <c r="O31" s="574" t="s">
        <v>1949</v>
      </c>
      <c r="P31" s="575">
        <v>26.982053920726781</v>
      </c>
      <c r="Q31" s="576">
        <v>30.902946079273161</v>
      </c>
      <c r="R31" s="577" t="s">
        <v>1953</v>
      </c>
      <c r="T31" s="574" t="s">
        <v>1949</v>
      </c>
      <c r="U31" s="575">
        <v>12.015226195475478</v>
      </c>
      <c r="V31" s="576">
        <v>45.869773804524463</v>
      </c>
      <c r="W31" s="577" t="s">
        <v>1953</v>
      </c>
      <c r="Y31" s="574" t="s">
        <v>1949</v>
      </c>
      <c r="Z31" s="575">
        <v>10.258960191642455</v>
      </c>
      <c r="AA31" s="576">
        <v>30.370598605870288</v>
      </c>
      <c r="AB31" s="577" t="s">
        <v>1953</v>
      </c>
    </row>
    <row r="32" spans="1:28" ht="67.5" customHeight="1" x14ac:dyDescent="0.5">
      <c r="A32" s="288" t="s">
        <v>415</v>
      </c>
      <c r="B32" s="540" t="s">
        <v>919</v>
      </c>
      <c r="C32" s="541" t="s">
        <v>416</v>
      </c>
      <c r="D32" s="295"/>
      <c r="E32" s="542">
        <v>0</v>
      </c>
      <c r="F32" s="543">
        <v>0</v>
      </c>
      <c r="G32" s="544">
        <v>0</v>
      </c>
      <c r="H32" s="542">
        <v>0</v>
      </c>
      <c r="I32" s="543">
        <v>0</v>
      </c>
      <c r="J32" s="544">
        <v>0</v>
      </c>
      <c r="K32" s="548">
        <v>0</v>
      </c>
    </row>
    <row r="33" spans="1:26" ht="67.5" customHeight="1" x14ac:dyDescent="0.5">
      <c r="A33" s="288" t="s">
        <v>630</v>
      </c>
      <c r="B33" s="540" t="s">
        <v>919</v>
      </c>
      <c r="C33" s="541" t="s">
        <v>631</v>
      </c>
      <c r="D33" s="295"/>
      <c r="E33" s="542">
        <v>0</v>
      </c>
      <c r="F33" s="543">
        <v>0</v>
      </c>
      <c r="G33" s="544">
        <v>0</v>
      </c>
      <c r="H33" s="542">
        <v>0</v>
      </c>
      <c r="I33" s="543">
        <v>0</v>
      </c>
      <c r="J33" s="544">
        <v>0</v>
      </c>
      <c r="K33" s="548">
        <v>0.18769765547493944</v>
      </c>
      <c r="O33" s="562" t="s">
        <v>1954</v>
      </c>
      <c r="P33" s="563">
        <f>FDIST(P30,1,Q30)</f>
        <v>3.3540683789305025E-56</v>
      </c>
      <c r="T33" s="562" t="s">
        <v>1954</v>
      </c>
      <c r="U33" s="563">
        <f>FDIST(U30,1,V30)</f>
        <v>6.7958448662916673E-22</v>
      </c>
      <c r="Y33" s="562" t="s">
        <v>1954</v>
      </c>
      <c r="Z33" s="563">
        <f>FDIST(Z30,1,AA30)</f>
        <v>5.5728310175206994E-27</v>
      </c>
    </row>
    <row r="34" spans="1:26" ht="67.5" customHeight="1" x14ac:dyDescent="0.5">
      <c r="A34" s="288" t="s">
        <v>634</v>
      </c>
      <c r="B34" s="540" t="s">
        <v>919</v>
      </c>
      <c r="C34" s="541" t="s">
        <v>635</v>
      </c>
      <c r="D34" s="295"/>
      <c r="E34" s="542">
        <v>0</v>
      </c>
      <c r="F34" s="543">
        <v>0</v>
      </c>
      <c r="G34" s="544">
        <v>0</v>
      </c>
      <c r="H34" s="542">
        <v>0</v>
      </c>
      <c r="I34" s="543">
        <v>0</v>
      </c>
      <c r="J34" s="544">
        <v>0</v>
      </c>
      <c r="K34" s="548">
        <v>8.567014065609406E-2</v>
      </c>
    </row>
    <row r="35" spans="1:26" ht="67.5" customHeight="1" x14ac:dyDescent="0.5">
      <c r="A35" s="288" t="s">
        <v>477</v>
      </c>
      <c r="B35" s="540" t="s">
        <v>919</v>
      </c>
      <c r="C35" s="541" t="s">
        <v>478</v>
      </c>
      <c r="D35" s="295"/>
      <c r="E35" s="542">
        <v>0</v>
      </c>
      <c r="F35" s="543">
        <v>0</v>
      </c>
      <c r="G35" s="544">
        <v>0</v>
      </c>
      <c r="H35" s="542">
        <v>7.3684210526315755E-2</v>
      </c>
      <c r="I35" s="543">
        <v>0</v>
      </c>
      <c r="J35" s="544">
        <v>0</v>
      </c>
      <c r="K35" s="548">
        <v>0</v>
      </c>
    </row>
    <row r="36" spans="1:26" ht="67.5" customHeight="1" x14ac:dyDescent="0.5">
      <c r="A36" s="288" t="s">
        <v>497</v>
      </c>
      <c r="B36" s="540" t="s">
        <v>919</v>
      </c>
      <c r="C36" s="541" t="s">
        <v>498</v>
      </c>
      <c r="D36" s="295"/>
      <c r="E36" s="542">
        <v>0</v>
      </c>
      <c r="F36" s="543">
        <v>0</v>
      </c>
      <c r="G36" s="544">
        <v>0</v>
      </c>
      <c r="H36" s="542">
        <v>0</v>
      </c>
      <c r="I36" s="543">
        <v>0</v>
      </c>
      <c r="J36" s="544">
        <v>0</v>
      </c>
      <c r="K36" s="548">
        <v>0.21759449040807768</v>
      </c>
    </row>
    <row r="37" spans="1:26" ht="67.5" customHeight="1" x14ac:dyDescent="0.5">
      <c r="A37" s="288" t="s">
        <v>747</v>
      </c>
      <c r="B37" s="540" t="s">
        <v>919</v>
      </c>
      <c r="C37" s="541" t="s">
        <v>748</v>
      </c>
      <c r="D37" s="295"/>
      <c r="E37" s="542">
        <v>0.75</v>
      </c>
      <c r="F37" s="543">
        <v>1</v>
      </c>
      <c r="G37" s="544">
        <v>1</v>
      </c>
      <c r="H37" s="542">
        <v>0</v>
      </c>
      <c r="I37" s="543">
        <v>0</v>
      </c>
      <c r="J37" s="544">
        <v>0</v>
      </c>
      <c r="K37" s="548">
        <v>8.1358324202380136E-2</v>
      </c>
    </row>
    <row r="38" spans="1:26" ht="67.5" customHeight="1" x14ac:dyDescent="0.5">
      <c r="A38" s="288" t="s">
        <v>767</v>
      </c>
      <c r="B38" s="540" t="s">
        <v>919</v>
      </c>
      <c r="C38" s="541" t="s">
        <v>768</v>
      </c>
      <c r="D38" s="295"/>
      <c r="E38" s="542">
        <v>0</v>
      </c>
      <c r="F38" s="543">
        <v>0</v>
      </c>
      <c r="G38" s="544">
        <v>0</v>
      </c>
      <c r="H38" s="542">
        <v>0</v>
      </c>
      <c r="I38" s="543">
        <v>0</v>
      </c>
      <c r="J38" s="544">
        <v>0</v>
      </c>
      <c r="K38" s="548">
        <v>3.3047068304619842E-2</v>
      </c>
    </row>
    <row r="39" spans="1:26" ht="67.5" customHeight="1" x14ac:dyDescent="0.5">
      <c r="A39" s="288" t="s">
        <v>624</v>
      </c>
      <c r="B39" s="540" t="s">
        <v>919</v>
      </c>
      <c r="C39" s="541" t="s">
        <v>625</v>
      </c>
      <c r="D39" s="295"/>
      <c r="E39" s="542">
        <v>0</v>
      </c>
      <c r="F39" s="543">
        <v>0</v>
      </c>
      <c r="G39" s="544">
        <v>0</v>
      </c>
      <c r="H39" s="542">
        <v>0</v>
      </c>
      <c r="I39" s="543">
        <v>0</v>
      </c>
      <c r="J39" s="544">
        <v>0</v>
      </c>
      <c r="K39" s="548">
        <v>0.32853078271200087</v>
      </c>
    </row>
    <row r="40" spans="1:26" ht="67.5" customHeight="1" x14ac:dyDescent="0.5">
      <c r="A40" s="288" t="s">
        <v>690</v>
      </c>
      <c r="B40" s="540" t="s">
        <v>919</v>
      </c>
      <c r="C40" s="541" t="s">
        <v>691</v>
      </c>
      <c r="D40" s="295"/>
      <c r="E40" s="542">
        <v>0</v>
      </c>
      <c r="F40" s="543">
        <v>0</v>
      </c>
      <c r="G40" s="544">
        <v>0</v>
      </c>
      <c r="H40" s="542">
        <v>0.2489331436699857</v>
      </c>
      <c r="I40" s="543">
        <v>0.16666666666666677</v>
      </c>
      <c r="J40" s="544">
        <v>8.3333333333333329E-2</v>
      </c>
      <c r="K40" s="548">
        <v>1.2676183968466233E-2</v>
      </c>
    </row>
    <row r="41" spans="1:26" ht="67.5" customHeight="1" x14ac:dyDescent="0.5">
      <c r="A41" s="288" t="s">
        <v>295</v>
      </c>
      <c r="B41" s="540" t="s">
        <v>919</v>
      </c>
      <c r="C41" s="541" t="s">
        <v>296</v>
      </c>
      <c r="D41" s="295"/>
      <c r="E41" s="542">
        <v>0</v>
      </c>
      <c r="F41" s="543">
        <v>0</v>
      </c>
      <c r="G41" s="544">
        <v>0</v>
      </c>
      <c r="H41" s="542">
        <v>1.5789473684210468E-2</v>
      </c>
      <c r="I41" s="543">
        <v>5.4054054054054022E-2</v>
      </c>
      <c r="J41" s="544">
        <v>3.7037037037037125E-2</v>
      </c>
      <c r="K41" s="548">
        <v>0</v>
      </c>
    </row>
    <row r="42" spans="1:26" ht="67.5" customHeight="1" x14ac:dyDescent="0.5">
      <c r="A42" s="288" t="s">
        <v>393</v>
      </c>
      <c r="B42" s="540" t="s">
        <v>919</v>
      </c>
      <c r="C42" s="541" t="s">
        <v>394</v>
      </c>
      <c r="D42" s="295"/>
      <c r="E42" s="542">
        <v>0.75</v>
      </c>
      <c r="F42" s="543">
        <v>1</v>
      </c>
      <c r="G42" s="544">
        <v>1</v>
      </c>
      <c r="H42" s="542">
        <v>0.26315789473684209</v>
      </c>
      <c r="I42" s="543">
        <v>0.75</v>
      </c>
      <c r="J42" s="544">
        <v>0.85454545454545461</v>
      </c>
      <c r="K42" s="548">
        <v>0</v>
      </c>
    </row>
    <row r="43" spans="1:26" ht="67.5" customHeight="1" x14ac:dyDescent="0.5">
      <c r="A43" s="288" t="s">
        <v>274</v>
      </c>
      <c r="B43" s="540" t="s">
        <v>919</v>
      </c>
      <c r="C43" s="541" t="s">
        <v>275</v>
      </c>
      <c r="D43" s="295"/>
      <c r="E43" s="542">
        <v>0</v>
      </c>
      <c r="F43" s="543">
        <v>0</v>
      </c>
      <c r="G43" s="544">
        <v>0</v>
      </c>
      <c r="H43" s="542">
        <v>1.5789473684210468E-2</v>
      </c>
      <c r="I43" s="543">
        <v>0</v>
      </c>
      <c r="J43" s="544">
        <v>0</v>
      </c>
      <c r="K43" s="548">
        <v>0.20952978417681423</v>
      </c>
    </row>
    <row r="44" spans="1:26" ht="67.5" customHeight="1" x14ac:dyDescent="0.5">
      <c r="A44" s="288" t="s">
        <v>592</v>
      </c>
      <c r="B44" s="540" t="s">
        <v>919</v>
      </c>
      <c r="C44" s="541" t="s">
        <v>593</v>
      </c>
      <c r="D44" s="295"/>
      <c r="E44" s="542">
        <v>0.5</v>
      </c>
      <c r="F44" s="543">
        <v>0.5</v>
      </c>
      <c r="G44" s="544">
        <v>0.5</v>
      </c>
      <c r="H44" s="542">
        <v>0</v>
      </c>
      <c r="I44" s="543">
        <v>0</v>
      </c>
      <c r="J44" s="544">
        <v>0.25925925925925924</v>
      </c>
      <c r="K44" s="548">
        <v>0.59744151149012559</v>
      </c>
    </row>
    <row r="45" spans="1:26" ht="67.5" customHeight="1" x14ac:dyDescent="0.5">
      <c r="A45" s="288" t="s">
        <v>102</v>
      </c>
      <c r="B45" s="540" t="s">
        <v>919</v>
      </c>
      <c r="C45" s="541" t="s">
        <v>103</v>
      </c>
      <c r="D45" s="295"/>
      <c r="E45" s="542">
        <v>0</v>
      </c>
      <c r="F45" s="543">
        <v>0</v>
      </c>
      <c r="G45" s="544">
        <v>0</v>
      </c>
      <c r="H45" s="542">
        <v>5.2631578947368286E-2</v>
      </c>
      <c r="I45" s="543">
        <v>0.18749999999999994</v>
      </c>
      <c r="J45" s="544">
        <v>0</v>
      </c>
      <c r="K45" s="548">
        <v>0</v>
      </c>
    </row>
    <row r="46" spans="1:26" ht="67.5" customHeight="1" x14ac:dyDescent="0.5">
      <c r="A46" s="288" t="s">
        <v>517</v>
      </c>
      <c r="B46" s="540" t="s">
        <v>919</v>
      </c>
      <c r="C46" s="541" t="s">
        <v>518</v>
      </c>
      <c r="D46" s="295"/>
      <c r="E46" s="542">
        <v>0</v>
      </c>
      <c r="F46" s="543">
        <v>0</v>
      </c>
      <c r="G46" s="544">
        <v>0</v>
      </c>
      <c r="H46" s="542">
        <v>0</v>
      </c>
      <c r="I46" s="543">
        <v>0</v>
      </c>
      <c r="J46" s="544">
        <v>0</v>
      </c>
      <c r="K46" s="548">
        <v>0.25831218021125174</v>
      </c>
    </row>
    <row r="47" spans="1:26" ht="67.5" customHeight="1" x14ac:dyDescent="0.5">
      <c r="A47" s="288" t="s">
        <v>610</v>
      </c>
      <c r="B47" s="540" t="s">
        <v>919</v>
      </c>
      <c r="C47" s="541" t="s">
        <v>611</v>
      </c>
      <c r="D47" s="295"/>
      <c r="E47" s="542">
        <v>0</v>
      </c>
      <c r="F47" s="543">
        <v>0</v>
      </c>
      <c r="G47" s="544">
        <v>0</v>
      </c>
      <c r="H47" s="542">
        <v>1.5789473684210468E-2</v>
      </c>
      <c r="I47" s="543">
        <v>0</v>
      </c>
      <c r="J47" s="544">
        <v>0</v>
      </c>
      <c r="K47" s="548">
        <v>0</v>
      </c>
    </row>
    <row r="48" spans="1:26" ht="67.5" customHeight="1" x14ac:dyDescent="0.5">
      <c r="A48" s="288" t="s">
        <v>672</v>
      </c>
      <c r="B48" s="540" t="s">
        <v>919</v>
      </c>
      <c r="C48" s="541" t="s">
        <v>673</v>
      </c>
      <c r="D48" s="295"/>
      <c r="E48" s="542">
        <v>0</v>
      </c>
      <c r="F48" s="543">
        <v>0</v>
      </c>
      <c r="G48" s="544">
        <v>0</v>
      </c>
      <c r="H48" s="542">
        <v>0</v>
      </c>
      <c r="I48" s="543">
        <v>0</v>
      </c>
      <c r="J48" s="544">
        <v>0</v>
      </c>
      <c r="K48" s="548">
        <v>0</v>
      </c>
    </row>
    <row r="49" spans="1:11" ht="67.5" customHeight="1" x14ac:dyDescent="0.5">
      <c r="A49" s="288" t="s">
        <v>887</v>
      </c>
      <c r="B49" s="540" t="s">
        <v>919</v>
      </c>
      <c r="C49" s="541" t="s">
        <v>888</v>
      </c>
      <c r="D49" s="295"/>
      <c r="E49" s="542">
        <v>1</v>
      </c>
      <c r="F49" s="543">
        <v>1</v>
      </c>
      <c r="G49" s="544">
        <v>1</v>
      </c>
      <c r="H49" s="542">
        <v>0.18947368421052627</v>
      </c>
      <c r="I49" s="543">
        <v>0.52702702702702697</v>
      </c>
      <c r="J49" s="544">
        <v>0.83838383838383834</v>
      </c>
      <c r="K49" s="619">
        <v>0.31207211185517442</v>
      </c>
    </row>
    <row r="50" spans="1:11" ht="67.5" customHeight="1" x14ac:dyDescent="0.5">
      <c r="A50" s="288" t="s">
        <v>644</v>
      </c>
      <c r="B50" s="540" t="s">
        <v>919</v>
      </c>
      <c r="C50" s="541" t="s">
        <v>645</v>
      </c>
      <c r="D50" s="295"/>
      <c r="E50" s="542">
        <v>0</v>
      </c>
      <c r="F50" s="543">
        <v>0</v>
      </c>
      <c r="G50" s="544">
        <v>0</v>
      </c>
      <c r="H50" s="542">
        <v>0.18947368421052627</v>
      </c>
      <c r="I50" s="543">
        <v>6.2499999999999986E-2</v>
      </c>
      <c r="J50" s="544">
        <v>0</v>
      </c>
      <c r="K50" s="548">
        <v>0</v>
      </c>
    </row>
    <row r="51" spans="1:11" ht="67.5" customHeight="1" x14ac:dyDescent="0.5">
      <c r="A51" s="288" t="s">
        <v>670</v>
      </c>
      <c r="B51" s="540" t="s">
        <v>919</v>
      </c>
      <c r="C51" s="541" t="s">
        <v>671</v>
      </c>
      <c r="D51" s="295"/>
      <c r="E51" s="542">
        <v>0</v>
      </c>
      <c r="F51" s="543">
        <v>0</v>
      </c>
      <c r="G51" s="544">
        <v>0</v>
      </c>
      <c r="H51" s="542">
        <v>0</v>
      </c>
      <c r="I51" s="543">
        <v>0</v>
      </c>
      <c r="J51" s="544">
        <v>0.16666666666666666</v>
      </c>
      <c r="K51" s="548">
        <v>0.87135680966417317</v>
      </c>
    </row>
    <row r="52" spans="1:11" ht="67.5" customHeight="1" x14ac:dyDescent="0.5">
      <c r="A52" s="288" t="s">
        <v>457</v>
      </c>
      <c r="B52" s="540" t="s">
        <v>919</v>
      </c>
      <c r="C52" s="541" t="s">
        <v>458</v>
      </c>
      <c r="D52" s="295"/>
      <c r="E52" s="542">
        <v>0.5</v>
      </c>
      <c r="F52" s="543">
        <v>1</v>
      </c>
      <c r="G52" s="544">
        <v>1</v>
      </c>
      <c r="H52" s="542">
        <v>0.5368421052631579</v>
      </c>
      <c r="I52" s="543">
        <v>0.51388888888888873</v>
      </c>
      <c r="J52" s="544">
        <v>0.5</v>
      </c>
      <c r="K52" s="583">
        <v>0.53057497805834197</v>
      </c>
    </row>
    <row r="53" spans="1:11" ht="67.5" customHeight="1" x14ac:dyDescent="0.5">
      <c r="A53" s="288" t="s">
        <v>225</v>
      </c>
      <c r="B53" s="540" t="s">
        <v>919</v>
      </c>
      <c r="C53" s="541" t="s">
        <v>226</v>
      </c>
      <c r="D53" s="295"/>
      <c r="E53" s="542">
        <v>0.25</v>
      </c>
      <c r="F53" s="543">
        <v>0</v>
      </c>
      <c r="G53" s="544">
        <v>0</v>
      </c>
      <c r="H53" s="542">
        <v>0.15789473684210514</v>
      </c>
      <c r="I53" s="543">
        <v>0.25</v>
      </c>
      <c r="J53" s="544">
        <v>0.2000000000000012</v>
      </c>
      <c r="K53" s="548">
        <v>0</v>
      </c>
    </row>
    <row r="54" spans="1:11" ht="67.5" customHeight="1" x14ac:dyDescent="0.5">
      <c r="A54" s="288" t="s">
        <v>469</v>
      </c>
      <c r="B54" s="540" t="s">
        <v>919</v>
      </c>
      <c r="C54" s="541" t="s">
        <v>470</v>
      </c>
      <c r="D54" s="295"/>
      <c r="E54" s="542">
        <v>0</v>
      </c>
      <c r="F54" s="543">
        <v>0</v>
      </c>
      <c r="G54" s="544">
        <v>0</v>
      </c>
      <c r="H54" s="542">
        <v>0</v>
      </c>
      <c r="I54" s="543">
        <v>0</v>
      </c>
      <c r="J54" s="544">
        <v>0</v>
      </c>
      <c r="K54" s="548">
        <v>0</v>
      </c>
    </row>
    <row r="55" spans="1:11" ht="67.5" customHeight="1" x14ac:dyDescent="0.5">
      <c r="A55" s="288" t="s">
        <v>590</v>
      </c>
      <c r="B55" s="540" t="s">
        <v>919</v>
      </c>
      <c r="C55" s="541" t="s">
        <v>591</v>
      </c>
      <c r="D55" s="295"/>
      <c r="E55" s="542">
        <v>0</v>
      </c>
      <c r="F55" s="543">
        <v>0</v>
      </c>
      <c r="G55" s="544">
        <v>0</v>
      </c>
      <c r="H55" s="542">
        <v>0</v>
      </c>
      <c r="I55" s="543">
        <v>0</v>
      </c>
      <c r="J55" s="544">
        <v>0</v>
      </c>
      <c r="K55" s="548">
        <v>0.78676354099378676</v>
      </c>
    </row>
    <row r="56" spans="1:11" ht="67.5" customHeight="1" x14ac:dyDescent="0.5">
      <c r="A56" s="288" t="s">
        <v>453</v>
      </c>
      <c r="B56" s="540" t="s">
        <v>919</v>
      </c>
      <c r="C56" s="541" t="s">
        <v>454</v>
      </c>
      <c r="D56" s="295"/>
      <c r="E56" s="542">
        <v>0</v>
      </c>
      <c r="F56" s="543">
        <v>0</v>
      </c>
      <c r="G56" s="544">
        <v>0</v>
      </c>
      <c r="H56" s="542">
        <v>0.30526315789473685</v>
      </c>
      <c r="I56" s="543">
        <v>0.16666666666666677</v>
      </c>
      <c r="J56" s="544">
        <v>8.3333333333333329E-2</v>
      </c>
      <c r="K56" s="548">
        <v>0.62083959335720673</v>
      </c>
    </row>
    <row r="57" spans="1:11" ht="67.5" customHeight="1" x14ac:dyDescent="0.5">
      <c r="A57" s="288" t="s">
        <v>708</v>
      </c>
      <c r="B57" s="540" t="s">
        <v>919</v>
      </c>
      <c r="C57" s="541" t="s">
        <v>709</v>
      </c>
      <c r="D57" s="295"/>
      <c r="E57" s="542">
        <v>0</v>
      </c>
      <c r="F57" s="543">
        <v>1</v>
      </c>
      <c r="G57" s="544">
        <v>1</v>
      </c>
      <c r="H57" s="542">
        <v>0.62446657183499277</v>
      </c>
      <c r="I57" s="543">
        <v>0.58333333333333337</v>
      </c>
      <c r="J57" s="544">
        <v>0.83333333333333337</v>
      </c>
      <c r="K57" s="548">
        <v>0</v>
      </c>
    </row>
    <row r="58" spans="1:11" ht="67.5" customHeight="1" x14ac:dyDescent="0.5">
      <c r="A58" s="288" t="s">
        <v>648</v>
      </c>
      <c r="B58" s="540" t="s">
        <v>919</v>
      </c>
      <c r="C58" s="541" t="s">
        <v>649</v>
      </c>
      <c r="D58" s="295"/>
      <c r="E58" s="542">
        <v>0.25</v>
      </c>
      <c r="F58" s="543">
        <v>0</v>
      </c>
      <c r="G58" s="544">
        <v>0</v>
      </c>
      <c r="H58" s="542">
        <v>0.13157894736842102</v>
      </c>
      <c r="I58" s="543">
        <v>0.12162162162162156</v>
      </c>
      <c r="J58" s="544">
        <v>0.19191919191919191</v>
      </c>
      <c r="K58" s="548">
        <v>0.15473987461948766</v>
      </c>
    </row>
    <row r="59" spans="1:11" ht="67.5" customHeight="1" x14ac:dyDescent="0.5">
      <c r="A59" s="288" t="s">
        <v>475</v>
      </c>
      <c r="B59" s="540" t="s">
        <v>919</v>
      </c>
      <c r="C59" s="541" t="s">
        <v>476</v>
      </c>
      <c r="D59" s="295"/>
      <c r="E59" s="542">
        <v>0</v>
      </c>
      <c r="F59" s="543">
        <v>0</v>
      </c>
      <c r="G59" s="544">
        <v>0</v>
      </c>
      <c r="H59" s="542">
        <v>0.24736842105263154</v>
      </c>
      <c r="I59" s="543">
        <v>0.16666666666666677</v>
      </c>
      <c r="J59" s="544">
        <v>0.16666666666666666</v>
      </c>
      <c r="K59" s="548">
        <v>0</v>
      </c>
    </row>
    <row r="60" spans="1:11" ht="67.5" customHeight="1" x14ac:dyDescent="0.5">
      <c r="A60" s="288" t="s">
        <v>875</v>
      </c>
      <c r="B60" s="540" t="s">
        <v>919</v>
      </c>
      <c r="C60" s="541" t="s">
        <v>876</v>
      </c>
      <c r="D60" s="295"/>
      <c r="E60" s="542">
        <v>0</v>
      </c>
      <c r="F60" s="543">
        <v>0</v>
      </c>
      <c r="G60" s="544">
        <v>0</v>
      </c>
      <c r="H60" s="542">
        <v>0</v>
      </c>
      <c r="I60" s="543">
        <v>0</v>
      </c>
      <c r="J60" s="544">
        <v>0</v>
      </c>
      <c r="K60" s="548">
        <v>0</v>
      </c>
    </row>
    <row r="61" spans="1:11" ht="67.5" customHeight="1" x14ac:dyDescent="0.5">
      <c r="A61" s="288" t="s">
        <v>628</v>
      </c>
      <c r="B61" s="540" t="s">
        <v>919</v>
      </c>
      <c r="C61" s="541" t="s">
        <v>629</v>
      </c>
      <c r="D61" s="295"/>
      <c r="E61" s="542">
        <v>0</v>
      </c>
      <c r="F61" s="543">
        <v>0</v>
      </c>
      <c r="G61" s="544">
        <v>0</v>
      </c>
      <c r="H61" s="542">
        <v>1.5789473684210468E-2</v>
      </c>
      <c r="I61" s="543">
        <v>0</v>
      </c>
      <c r="J61" s="544">
        <v>3.0303030303030203E-2</v>
      </c>
      <c r="K61" s="548">
        <v>0.45506904197999071</v>
      </c>
    </row>
    <row r="62" spans="1:11" ht="67.5" customHeight="1" x14ac:dyDescent="0.5">
      <c r="A62" s="288" t="s">
        <v>692</v>
      </c>
      <c r="B62" s="540" t="s">
        <v>919</v>
      </c>
      <c r="C62" s="541" t="s">
        <v>693</v>
      </c>
      <c r="D62" s="295"/>
      <c r="E62" s="542">
        <v>0.25</v>
      </c>
      <c r="F62" s="543">
        <v>0</v>
      </c>
      <c r="G62" s="544">
        <v>0</v>
      </c>
      <c r="H62" s="542">
        <v>0.12375533428165002</v>
      </c>
      <c r="I62" s="543">
        <v>9.7222222222222293E-2</v>
      </c>
      <c r="J62" s="544">
        <v>0.33333333333333331</v>
      </c>
      <c r="K62" s="548">
        <v>0.11408652040429287</v>
      </c>
    </row>
    <row r="63" spans="1:11" ht="67.5" customHeight="1" x14ac:dyDescent="0.5">
      <c r="A63" s="288" t="s">
        <v>132</v>
      </c>
      <c r="B63" s="540" t="s">
        <v>919</v>
      </c>
      <c r="C63" s="541" t="s">
        <v>133</v>
      </c>
      <c r="D63" s="295"/>
      <c r="E63" s="542">
        <v>0.5</v>
      </c>
      <c r="F63" s="543">
        <v>0.25</v>
      </c>
      <c r="G63" s="544">
        <v>0</v>
      </c>
      <c r="H63" s="542">
        <v>5.2631578947368286E-2</v>
      </c>
      <c r="I63" s="543">
        <v>0.5625</v>
      </c>
      <c r="J63" s="544">
        <v>0.27272727272727382</v>
      </c>
      <c r="K63" s="548">
        <v>0</v>
      </c>
    </row>
    <row r="64" spans="1:11" ht="67.5" customHeight="1" x14ac:dyDescent="0.5">
      <c r="A64" s="288" t="s">
        <v>437</v>
      </c>
      <c r="B64" s="540" t="s">
        <v>919</v>
      </c>
      <c r="C64" s="541" t="s">
        <v>438</v>
      </c>
      <c r="D64" s="295"/>
      <c r="E64" s="542">
        <v>0</v>
      </c>
      <c r="F64" s="543">
        <v>0</v>
      </c>
      <c r="G64" s="544">
        <v>0</v>
      </c>
      <c r="H64" s="542">
        <v>0</v>
      </c>
      <c r="I64" s="543">
        <v>0</v>
      </c>
      <c r="J64" s="544">
        <v>0</v>
      </c>
      <c r="K64" s="548">
        <v>3.3080709852090801E-2</v>
      </c>
    </row>
    <row r="65" spans="1:11" ht="67.5" customHeight="1" x14ac:dyDescent="0.5">
      <c r="A65" s="288" t="s">
        <v>893</v>
      </c>
      <c r="B65" s="540" t="s">
        <v>919</v>
      </c>
      <c r="C65" s="541" t="s">
        <v>894</v>
      </c>
      <c r="D65" s="295"/>
      <c r="E65" s="542">
        <v>0.25</v>
      </c>
      <c r="F65" s="543">
        <v>0</v>
      </c>
      <c r="G65" s="544">
        <v>0</v>
      </c>
      <c r="H65" s="542">
        <v>1.5789473684210468E-2</v>
      </c>
      <c r="I65" s="543">
        <v>0.25675675675675674</v>
      </c>
      <c r="J65" s="544">
        <v>0.51515151515151514</v>
      </c>
      <c r="K65" s="548">
        <v>0</v>
      </c>
    </row>
    <row r="66" spans="1:11" ht="67.5" customHeight="1" x14ac:dyDescent="0.5">
      <c r="A66" s="288" t="s">
        <v>865</v>
      </c>
      <c r="B66" s="540" t="s">
        <v>919</v>
      </c>
      <c r="C66" s="541" t="s">
        <v>866</v>
      </c>
      <c r="D66" s="295" t="s">
        <v>954</v>
      </c>
      <c r="E66" s="542">
        <v>0.25</v>
      </c>
      <c r="F66" s="543">
        <v>0</v>
      </c>
      <c r="G66" s="544">
        <v>0</v>
      </c>
      <c r="H66" s="542">
        <v>0</v>
      </c>
      <c r="I66" s="543">
        <v>0</v>
      </c>
      <c r="J66" s="544">
        <v>0</v>
      </c>
      <c r="K66" s="548">
        <v>0</v>
      </c>
    </row>
    <row r="67" spans="1:11" ht="67.5" customHeight="1" x14ac:dyDescent="0.5">
      <c r="A67" s="288" t="s">
        <v>51</v>
      </c>
      <c r="B67" s="540" t="s">
        <v>919</v>
      </c>
      <c r="C67" s="541" t="s">
        <v>52</v>
      </c>
      <c r="D67" s="295"/>
      <c r="E67" s="542">
        <v>0</v>
      </c>
      <c r="F67" s="543">
        <v>0</v>
      </c>
      <c r="G67" s="544">
        <v>0</v>
      </c>
      <c r="H67" s="542">
        <v>0</v>
      </c>
      <c r="I67" s="543">
        <v>0</v>
      </c>
      <c r="J67" s="544">
        <v>0</v>
      </c>
      <c r="K67" s="548">
        <v>0</v>
      </c>
    </row>
    <row r="68" spans="1:11" ht="67.5" customHeight="1" x14ac:dyDescent="0.5">
      <c r="A68" s="288" t="s">
        <v>111</v>
      </c>
      <c r="B68" s="540" t="s">
        <v>919</v>
      </c>
      <c r="C68" s="541" t="s">
        <v>112</v>
      </c>
      <c r="D68" s="295"/>
      <c r="E68" s="542">
        <v>0</v>
      </c>
      <c r="F68" s="543">
        <v>0</v>
      </c>
      <c r="G68" s="544">
        <v>0</v>
      </c>
      <c r="H68" s="542">
        <v>0</v>
      </c>
      <c r="I68" s="543">
        <v>0</v>
      </c>
      <c r="J68" s="544">
        <v>0</v>
      </c>
      <c r="K68" s="548">
        <v>0</v>
      </c>
    </row>
    <row r="69" spans="1:11" ht="67.5" customHeight="1" x14ac:dyDescent="0.5">
      <c r="A69" s="288" t="s">
        <v>773</v>
      </c>
      <c r="B69" s="540" t="s">
        <v>919</v>
      </c>
      <c r="C69" s="541" t="s">
        <v>774</v>
      </c>
      <c r="D69" s="295"/>
      <c r="E69" s="542">
        <v>0</v>
      </c>
      <c r="F69" s="543">
        <v>0</v>
      </c>
      <c r="G69" s="544">
        <v>0</v>
      </c>
      <c r="H69" s="542">
        <v>0</v>
      </c>
      <c r="I69" s="543">
        <v>0</v>
      </c>
      <c r="J69" s="544">
        <v>0</v>
      </c>
      <c r="K69" s="548">
        <v>0.14325995436666428</v>
      </c>
    </row>
    <row r="70" spans="1:11" ht="67.5" customHeight="1" x14ac:dyDescent="0.5">
      <c r="A70" s="288" t="s">
        <v>24</v>
      </c>
      <c r="B70" s="540" t="s">
        <v>919</v>
      </c>
      <c r="C70" s="541" t="s">
        <v>25</v>
      </c>
      <c r="D70" s="295"/>
      <c r="E70" s="542">
        <v>0.25</v>
      </c>
      <c r="F70" s="543">
        <v>0</v>
      </c>
      <c r="G70" s="544">
        <v>0</v>
      </c>
      <c r="H70" s="542">
        <v>0</v>
      </c>
      <c r="I70" s="543">
        <v>0</v>
      </c>
      <c r="J70" s="544">
        <v>0</v>
      </c>
      <c r="K70" s="548">
        <v>0</v>
      </c>
    </row>
    <row r="71" spans="1:11" ht="67.5" customHeight="1" x14ac:dyDescent="0.5">
      <c r="A71" s="288" t="s">
        <v>141</v>
      </c>
      <c r="B71" s="540" t="s">
        <v>919</v>
      </c>
      <c r="C71" s="541" t="s">
        <v>142</v>
      </c>
      <c r="D71" s="295"/>
      <c r="E71" s="542">
        <v>0.25</v>
      </c>
      <c r="F71" s="543">
        <v>0</v>
      </c>
      <c r="G71" s="544">
        <v>0</v>
      </c>
      <c r="H71" s="542">
        <v>0</v>
      </c>
      <c r="I71" s="543">
        <v>6.2499999999999986E-2</v>
      </c>
      <c r="J71" s="544">
        <v>0</v>
      </c>
      <c r="K71" s="548">
        <v>0</v>
      </c>
    </row>
    <row r="72" spans="1:11" ht="67.5" customHeight="1" x14ac:dyDescent="0.5">
      <c r="A72" s="288" t="s">
        <v>231</v>
      </c>
      <c r="B72" s="540" t="s">
        <v>919</v>
      </c>
      <c r="C72" s="541" t="s">
        <v>232</v>
      </c>
      <c r="D72" s="295"/>
      <c r="E72" s="542">
        <v>0</v>
      </c>
      <c r="F72" s="543">
        <v>0.25</v>
      </c>
      <c r="G72" s="544">
        <v>0</v>
      </c>
      <c r="H72" s="542">
        <v>5.2631578947368286E-2</v>
      </c>
      <c r="I72" s="543">
        <v>0.25</v>
      </c>
      <c r="J72" s="544">
        <v>0.2000000000000012</v>
      </c>
      <c r="K72" s="548">
        <v>0</v>
      </c>
    </row>
    <row r="73" spans="1:11" ht="67.5" customHeight="1" x14ac:dyDescent="0.5">
      <c r="A73" s="288" t="s">
        <v>54</v>
      </c>
      <c r="B73" s="540" t="s">
        <v>919</v>
      </c>
      <c r="C73" s="541" t="s">
        <v>55</v>
      </c>
      <c r="D73" s="295" t="s">
        <v>933</v>
      </c>
      <c r="E73" s="542">
        <v>0.25</v>
      </c>
      <c r="F73" s="543">
        <v>0.25</v>
      </c>
      <c r="G73" s="544">
        <v>0.5</v>
      </c>
      <c r="H73" s="542">
        <v>0.26315789473684209</v>
      </c>
      <c r="I73" s="543">
        <v>0.4375</v>
      </c>
      <c r="J73" s="544">
        <v>0.27272727272727382</v>
      </c>
      <c r="K73" s="548">
        <v>0.15500855382544584</v>
      </c>
    </row>
    <row r="74" spans="1:11" ht="67.5" customHeight="1" x14ac:dyDescent="0.5">
      <c r="A74" s="288" t="s">
        <v>114</v>
      </c>
      <c r="B74" s="540" t="s">
        <v>919</v>
      </c>
      <c r="C74" s="541" t="s">
        <v>115</v>
      </c>
      <c r="D74" s="295" t="s">
        <v>955</v>
      </c>
      <c r="E74" s="542">
        <v>0.25</v>
      </c>
      <c r="F74" s="543">
        <v>0</v>
      </c>
      <c r="G74" s="544">
        <v>0</v>
      </c>
      <c r="H74" s="542">
        <v>0</v>
      </c>
      <c r="I74" s="543">
        <v>0</v>
      </c>
      <c r="J74" s="544">
        <v>0</v>
      </c>
      <c r="K74" s="548">
        <v>0</v>
      </c>
    </row>
    <row r="75" spans="1:11" ht="67.5" customHeight="1" x14ac:dyDescent="0.5">
      <c r="A75" s="288" t="s">
        <v>84</v>
      </c>
      <c r="B75" s="540" t="s">
        <v>919</v>
      </c>
      <c r="C75" s="541" t="s">
        <v>85</v>
      </c>
      <c r="D75" s="295" t="s">
        <v>934</v>
      </c>
      <c r="E75" s="542">
        <v>0.5</v>
      </c>
      <c r="F75" s="543">
        <v>0.25</v>
      </c>
      <c r="G75" s="544">
        <v>0.5</v>
      </c>
      <c r="H75" s="542">
        <v>0</v>
      </c>
      <c r="I75" s="543">
        <v>6.2499999999999986E-2</v>
      </c>
      <c r="J75" s="544">
        <v>0</v>
      </c>
      <c r="K75" s="548">
        <v>0.39195258825920348</v>
      </c>
    </row>
    <row r="76" spans="1:11" ht="67.5" customHeight="1" x14ac:dyDescent="0.5">
      <c r="A76" s="288" t="s">
        <v>201</v>
      </c>
      <c r="B76" s="540" t="s">
        <v>919</v>
      </c>
      <c r="C76" s="541" t="s">
        <v>202</v>
      </c>
      <c r="D76" s="295"/>
      <c r="E76" s="542">
        <v>0.25</v>
      </c>
      <c r="F76" s="543">
        <v>0</v>
      </c>
      <c r="G76" s="544">
        <v>0</v>
      </c>
      <c r="H76" s="542">
        <v>0</v>
      </c>
      <c r="I76" s="543">
        <v>0</v>
      </c>
      <c r="J76" s="544">
        <v>0</v>
      </c>
      <c r="K76" s="548">
        <v>2.5592134254508122E-2</v>
      </c>
    </row>
    <row r="77" spans="1:11" ht="67.5" customHeight="1" x14ac:dyDescent="0.5">
      <c r="A77" s="288" t="s">
        <v>451</v>
      </c>
      <c r="B77" s="540" t="s">
        <v>919</v>
      </c>
      <c r="C77" s="541" t="s">
        <v>452</v>
      </c>
      <c r="D77" s="295"/>
      <c r="E77" s="542">
        <v>0</v>
      </c>
      <c r="F77" s="543">
        <v>0.25</v>
      </c>
      <c r="G77" s="544">
        <v>0.25</v>
      </c>
      <c r="H77" s="542">
        <v>0</v>
      </c>
      <c r="I77" s="543">
        <v>0</v>
      </c>
      <c r="J77" s="544">
        <v>0</v>
      </c>
      <c r="K77" s="548">
        <v>0</v>
      </c>
    </row>
    <row r="78" spans="1:11" ht="67.5" customHeight="1" x14ac:dyDescent="0.5">
      <c r="A78" s="288" t="s">
        <v>471</v>
      </c>
      <c r="B78" s="540" t="s">
        <v>919</v>
      </c>
      <c r="C78" s="541" t="s">
        <v>472</v>
      </c>
      <c r="D78" s="295"/>
      <c r="E78" s="542">
        <v>0</v>
      </c>
      <c r="F78" s="543">
        <v>0</v>
      </c>
      <c r="G78" s="544">
        <v>0.25</v>
      </c>
      <c r="H78" s="542">
        <v>0</v>
      </c>
      <c r="I78" s="543">
        <v>0</v>
      </c>
      <c r="J78" s="544">
        <v>0</v>
      </c>
      <c r="K78" s="548">
        <v>0</v>
      </c>
    </row>
    <row r="79" spans="1:11" ht="67.5" customHeight="1" x14ac:dyDescent="0.5">
      <c r="A79" s="288" t="s">
        <v>447</v>
      </c>
      <c r="B79" s="540" t="s">
        <v>919</v>
      </c>
      <c r="C79" s="541" t="s">
        <v>448</v>
      </c>
      <c r="D79" s="295"/>
      <c r="E79" s="542">
        <v>0.25</v>
      </c>
      <c r="F79" s="543">
        <v>0</v>
      </c>
      <c r="G79" s="544">
        <v>0</v>
      </c>
      <c r="H79" s="542">
        <v>0</v>
      </c>
      <c r="I79" s="543">
        <v>0</v>
      </c>
      <c r="J79" s="544">
        <v>0</v>
      </c>
      <c r="K79" s="548">
        <v>7.0348566021333533E-2</v>
      </c>
    </row>
    <row r="80" spans="1:11" ht="67.5" customHeight="1" x14ac:dyDescent="0.5">
      <c r="A80" s="288" t="s">
        <v>449</v>
      </c>
      <c r="B80" s="540" t="s">
        <v>919</v>
      </c>
      <c r="C80" s="541" t="s">
        <v>450</v>
      </c>
      <c r="D80" s="295"/>
      <c r="E80" s="542">
        <v>0</v>
      </c>
      <c r="F80" s="543">
        <v>0</v>
      </c>
      <c r="G80" s="544">
        <v>0</v>
      </c>
      <c r="H80" s="542">
        <v>0</v>
      </c>
      <c r="I80" s="543">
        <v>0</v>
      </c>
      <c r="J80" s="544">
        <v>0</v>
      </c>
      <c r="K80" s="548">
        <v>0</v>
      </c>
    </row>
    <row r="81" spans="1:11" ht="67.5" customHeight="1" x14ac:dyDescent="0.5">
      <c r="A81" s="288" t="s">
        <v>825</v>
      </c>
      <c r="B81" s="540" t="s">
        <v>919</v>
      </c>
      <c r="C81" s="541" t="s">
        <v>826</v>
      </c>
      <c r="D81" s="295"/>
      <c r="E81" s="542">
        <v>0</v>
      </c>
      <c r="F81" s="543">
        <v>0</v>
      </c>
      <c r="G81" s="544">
        <v>0.25</v>
      </c>
      <c r="H81" s="542">
        <v>7.3684210526315755E-2</v>
      </c>
      <c r="I81" s="543">
        <v>2.7777777777777679E-2</v>
      </c>
      <c r="J81" s="544">
        <v>8.3333333333333329E-2</v>
      </c>
      <c r="K81" s="548">
        <v>0.11153281698894596</v>
      </c>
    </row>
    <row r="82" spans="1:11" ht="67.5" customHeight="1" x14ac:dyDescent="0.5">
      <c r="A82" s="288" t="s">
        <v>785</v>
      </c>
      <c r="B82" s="540" t="s">
        <v>919</v>
      </c>
      <c r="C82" s="541" t="s">
        <v>786</v>
      </c>
      <c r="D82" s="295"/>
      <c r="E82" s="542">
        <v>0</v>
      </c>
      <c r="F82" s="543">
        <v>0.5</v>
      </c>
      <c r="G82" s="544">
        <v>1</v>
      </c>
      <c r="H82" s="542">
        <v>0.71052631578947367</v>
      </c>
      <c r="I82" s="543">
        <v>0.6527777777777779</v>
      </c>
      <c r="J82" s="544">
        <v>0.66666666666666663</v>
      </c>
      <c r="K82" s="583">
        <v>0.39698255208956607</v>
      </c>
    </row>
    <row r="83" spans="1:11" ht="67.5" customHeight="1" x14ac:dyDescent="0.5">
      <c r="A83" s="288" t="s">
        <v>571</v>
      </c>
      <c r="B83" s="540" t="s">
        <v>919</v>
      </c>
      <c r="C83" s="541" t="s">
        <v>572</v>
      </c>
      <c r="D83" s="295"/>
      <c r="E83" s="542">
        <v>0</v>
      </c>
      <c r="F83" s="543">
        <v>0</v>
      </c>
      <c r="G83" s="544">
        <v>0</v>
      </c>
      <c r="H83" s="542">
        <v>0</v>
      </c>
      <c r="I83" s="543">
        <v>0</v>
      </c>
      <c r="J83" s="544">
        <v>0</v>
      </c>
      <c r="K83" s="548">
        <v>0.43953594253605993</v>
      </c>
    </row>
    <row r="84" spans="1:11" ht="67.5" customHeight="1" x14ac:dyDescent="0.5">
      <c r="A84" s="288" t="s">
        <v>509</v>
      </c>
      <c r="B84" s="540" t="s">
        <v>919</v>
      </c>
      <c r="C84" s="541" t="s">
        <v>510</v>
      </c>
      <c r="D84" s="295"/>
      <c r="E84" s="542">
        <v>0</v>
      </c>
      <c r="F84" s="543">
        <v>0</v>
      </c>
      <c r="G84" s="544">
        <v>0</v>
      </c>
      <c r="H84" s="542">
        <v>2.4930747922437709E-2</v>
      </c>
      <c r="I84" s="543">
        <v>0</v>
      </c>
      <c r="J84" s="544">
        <v>0</v>
      </c>
      <c r="K84" s="548">
        <v>0</v>
      </c>
    </row>
    <row r="85" spans="1:11" ht="67.5" customHeight="1" x14ac:dyDescent="0.5">
      <c r="A85" s="288" t="s">
        <v>293</v>
      </c>
      <c r="B85" s="540" t="s">
        <v>919</v>
      </c>
      <c r="C85" s="541" t="s">
        <v>294</v>
      </c>
      <c r="D85" s="295"/>
      <c r="E85" s="542">
        <v>0.5</v>
      </c>
      <c r="F85" s="543">
        <v>0</v>
      </c>
      <c r="G85" s="544">
        <v>0</v>
      </c>
      <c r="H85" s="542">
        <v>0.24736842105263154</v>
      </c>
      <c r="I85" s="543">
        <v>0.45945945945945937</v>
      </c>
      <c r="J85" s="544">
        <v>0.55555555555555569</v>
      </c>
      <c r="K85" s="548">
        <v>0.54342355986992286</v>
      </c>
    </row>
    <row r="86" spans="1:11" ht="67.5" customHeight="1" x14ac:dyDescent="0.5">
      <c r="A86" s="288" t="s">
        <v>81</v>
      </c>
      <c r="B86" s="540" t="s">
        <v>919</v>
      </c>
      <c r="C86" s="541" t="s">
        <v>82</v>
      </c>
      <c r="D86" s="295"/>
      <c r="E86" s="542">
        <v>0.25</v>
      </c>
      <c r="F86" s="543">
        <v>0</v>
      </c>
      <c r="G86" s="544">
        <v>0</v>
      </c>
      <c r="H86" s="542">
        <v>5.2631578947368286E-2</v>
      </c>
      <c r="I86" s="543">
        <v>0</v>
      </c>
      <c r="J86" s="544">
        <v>0</v>
      </c>
      <c r="K86" s="548">
        <v>0.79939553802926855</v>
      </c>
    </row>
    <row r="87" spans="1:11" ht="67.5" customHeight="1" x14ac:dyDescent="0.5">
      <c r="A87" s="288" t="s">
        <v>507</v>
      </c>
      <c r="B87" s="540" t="s">
        <v>919</v>
      </c>
      <c r="C87" s="541" t="s">
        <v>508</v>
      </c>
      <c r="D87" s="295"/>
      <c r="E87" s="542">
        <v>1</v>
      </c>
      <c r="F87" s="543">
        <v>1</v>
      </c>
      <c r="G87" s="544">
        <v>1</v>
      </c>
      <c r="H87" s="542">
        <v>0.45152354570637127</v>
      </c>
      <c r="I87" s="543">
        <v>0.37499999999999994</v>
      </c>
      <c r="J87" s="544">
        <v>0.33333333333333331</v>
      </c>
      <c r="K87" s="548">
        <v>0.78796556445242205</v>
      </c>
    </row>
    <row r="88" spans="1:11" ht="67.5" customHeight="1" x14ac:dyDescent="0.5">
      <c r="A88" s="288" t="s">
        <v>487</v>
      </c>
      <c r="B88" s="540" t="s">
        <v>919</v>
      </c>
      <c r="C88" s="541" t="s">
        <v>488</v>
      </c>
      <c r="D88" s="295"/>
      <c r="E88" s="542">
        <v>0</v>
      </c>
      <c r="F88" s="543">
        <v>0</v>
      </c>
      <c r="G88" s="544">
        <v>0</v>
      </c>
      <c r="H88" s="542">
        <v>7.3684210526315755E-2</v>
      </c>
      <c r="I88" s="543">
        <v>9.7222222222222293E-2</v>
      </c>
      <c r="J88" s="544">
        <v>0.25</v>
      </c>
      <c r="K88" s="548">
        <v>0.46879439403108586</v>
      </c>
    </row>
    <row r="89" spans="1:11" ht="67.5" customHeight="1" x14ac:dyDescent="0.5">
      <c r="A89" s="291" t="s">
        <v>873</v>
      </c>
      <c r="B89" s="584" t="s">
        <v>926</v>
      </c>
      <c r="C89" s="585" t="s">
        <v>874</v>
      </c>
      <c r="D89" s="294"/>
      <c r="E89" s="586">
        <v>0</v>
      </c>
      <c r="F89" s="587">
        <v>0</v>
      </c>
      <c r="G89" s="588">
        <v>0</v>
      </c>
      <c r="H89" s="586">
        <v>0</v>
      </c>
      <c r="I89" s="587">
        <v>0</v>
      </c>
      <c r="J89" s="588">
        <v>0</v>
      </c>
      <c r="K89" s="545">
        <v>0</v>
      </c>
    </row>
    <row r="90" spans="1:11" ht="67.5" customHeight="1" x14ac:dyDescent="0.5">
      <c r="A90" s="292" t="s">
        <v>339</v>
      </c>
      <c r="B90" s="540" t="s">
        <v>926</v>
      </c>
      <c r="C90" s="573" t="s">
        <v>340</v>
      </c>
      <c r="D90" s="295"/>
      <c r="E90" s="542">
        <v>0.5</v>
      </c>
      <c r="F90" s="543">
        <v>0</v>
      </c>
      <c r="G90" s="544">
        <v>0.25</v>
      </c>
      <c r="H90" s="542">
        <v>1</v>
      </c>
      <c r="I90" s="543">
        <v>1</v>
      </c>
      <c r="J90" s="544">
        <v>1</v>
      </c>
      <c r="K90" s="548">
        <v>0.52085639634085312</v>
      </c>
    </row>
    <row r="91" spans="1:11" ht="67.5" customHeight="1" x14ac:dyDescent="0.5">
      <c r="A91" s="289" t="s">
        <v>278</v>
      </c>
      <c r="B91" s="551" t="s">
        <v>926</v>
      </c>
      <c r="C91" s="552" t="s">
        <v>279</v>
      </c>
      <c r="D91" s="296"/>
      <c r="E91" s="553">
        <v>0</v>
      </c>
      <c r="F91" s="554">
        <v>0</v>
      </c>
      <c r="G91" s="555">
        <v>0</v>
      </c>
      <c r="H91" s="553">
        <v>7.3684210526315755E-2</v>
      </c>
      <c r="I91" s="554">
        <v>0</v>
      </c>
      <c r="J91" s="555">
        <v>0</v>
      </c>
      <c r="K91" s="556">
        <v>0.61666224567667338</v>
      </c>
    </row>
    <row r="92" spans="1:11" ht="67.5" customHeight="1" x14ac:dyDescent="0.5">
      <c r="A92" s="288" t="s">
        <v>385</v>
      </c>
      <c r="B92" s="540" t="s">
        <v>918</v>
      </c>
      <c r="C92" s="541" t="s">
        <v>386</v>
      </c>
      <c r="D92" s="295"/>
      <c r="E92" s="542">
        <v>0.25</v>
      </c>
      <c r="F92" s="543">
        <v>0</v>
      </c>
      <c r="G92" s="544">
        <v>0</v>
      </c>
      <c r="H92" s="542">
        <v>0</v>
      </c>
      <c r="I92" s="543">
        <v>0</v>
      </c>
      <c r="J92" s="544">
        <v>0</v>
      </c>
      <c r="K92" s="548">
        <v>0.13302593276717584</v>
      </c>
    </row>
    <row r="93" spans="1:11" ht="67.5" customHeight="1" x14ac:dyDescent="0.5">
      <c r="A93" s="288" t="s">
        <v>45</v>
      </c>
      <c r="B93" s="540" t="s">
        <v>918</v>
      </c>
      <c r="C93" s="541" t="s">
        <v>46</v>
      </c>
      <c r="D93" s="295"/>
      <c r="E93" s="542">
        <v>0</v>
      </c>
      <c r="F93" s="543">
        <v>0</v>
      </c>
      <c r="G93" s="544">
        <v>0</v>
      </c>
      <c r="H93" s="542">
        <v>5.2631578947368286E-2</v>
      </c>
      <c r="I93" s="543">
        <v>0</v>
      </c>
      <c r="J93" s="544">
        <v>0</v>
      </c>
      <c r="K93" s="548">
        <v>0</v>
      </c>
    </row>
    <row r="94" spans="1:11" ht="67.5" customHeight="1" x14ac:dyDescent="0.5">
      <c r="A94" s="288" t="s">
        <v>698</v>
      </c>
      <c r="B94" s="540" t="s">
        <v>918</v>
      </c>
      <c r="C94" s="541" t="s">
        <v>699</v>
      </c>
      <c r="D94" s="295"/>
      <c r="E94" s="542">
        <v>0.5</v>
      </c>
      <c r="F94" s="543">
        <v>1</v>
      </c>
      <c r="G94" s="544">
        <v>1</v>
      </c>
      <c r="H94" s="542">
        <v>0.12375533428165002</v>
      </c>
      <c r="I94" s="543">
        <v>9.7222222222222293E-2</v>
      </c>
      <c r="J94" s="544">
        <v>0.66666666666666663</v>
      </c>
      <c r="K94" s="548">
        <v>0</v>
      </c>
    </row>
    <row r="95" spans="1:11" ht="67.5" customHeight="1" x14ac:dyDescent="0.5">
      <c r="A95" s="288" t="s">
        <v>383</v>
      </c>
      <c r="B95" s="540" t="s">
        <v>918</v>
      </c>
      <c r="C95" s="541" t="s">
        <v>384</v>
      </c>
      <c r="D95" s="295"/>
      <c r="E95" s="542">
        <v>0</v>
      </c>
      <c r="F95" s="543">
        <v>0</v>
      </c>
      <c r="G95" s="544">
        <v>0</v>
      </c>
      <c r="H95" s="542">
        <v>0</v>
      </c>
      <c r="I95" s="543">
        <v>0</v>
      </c>
      <c r="J95" s="544">
        <v>0</v>
      </c>
      <c r="K95" s="548">
        <v>0</v>
      </c>
    </row>
    <row r="96" spans="1:11" ht="67.5" customHeight="1" x14ac:dyDescent="0.5">
      <c r="A96" s="288" t="s">
        <v>258</v>
      </c>
      <c r="B96" s="540" t="s">
        <v>918</v>
      </c>
      <c r="C96" s="541" t="s">
        <v>259</v>
      </c>
      <c r="D96" s="295"/>
      <c r="E96" s="542">
        <v>0.25</v>
      </c>
      <c r="F96" s="543">
        <v>0</v>
      </c>
      <c r="G96" s="544">
        <v>0.25</v>
      </c>
      <c r="H96" s="542">
        <v>0.13157894736842102</v>
      </c>
      <c r="I96" s="543">
        <v>2.7777777777777679E-2</v>
      </c>
      <c r="J96" s="544">
        <v>0.11111111111111123</v>
      </c>
      <c r="K96" s="548">
        <v>0.1575962330966289</v>
      </c>
    </row>
    <row r="97" spans="1:11" ht="67.5" customHeight="1" x14ac:dyDescent="0.5">
      <c r="A97" s="288" t="s">
        <v>387</v>
      </c>
      <c r="B97" s="540" t="s">
        <v>918</v>
      </c>
      <c r="C97" s="541" t="s">
        <v>388</v>
      </c>
      <c r="D97" s="295"/>
      <c r="E97" s="542">
        <v>0</v>
      </c>
      <c r="F97" s="543">
        <v>0</v>
      </c>
      <c r="G97" s="544">
        <v>0</v>
      </c>
      <c r="H97" s="542">
        <v>0</v>
      </c>
      <c r="I97" s="543">
        <v>0</v>
      </c>
      <c r="J97" s="544">
        <v>0</v>
      </c>
      <c r="K97" s="548">
        <v>2.7448197381772645E-2</v>
      </c>
    </row>
    <row r="98" spans="1:11" ht="67.5" customHeight="1" x14ac:dyDescent="0.5">
      <c r="A98" s="288" t="s">
        <v>618</v>
      </c>
      <c r="B98" s="540" t="s">
        <v>918</v>
      </c>
      <c r="C98" s="541" t="s">
        <v>619</v>
      </c>
      <c r="D98" s="295"/>
      <c r="E98" s="542">
        <v>0</v>
      </c>
      <c r="F98" s="543">
        <v>0</v>
      </c>
      <c r="G98" s="544">
        <v>0</v>
      </c>
      <c r="H98" s="542">
        <v>0</v>
      </c>
      <c r="I98" s="543">
        <v>0</v>
      </c>
      <c r="J98" s="544">
        <v>0</v>
      </c>
      <c r="K98" s="548">
        <v>0</v>
      </c>
    </row>
    <row r="99" spans="1:11" ht="67.5" customHeight="1" x14ac:dyDescent="0.5">
      <c r="A99" s="288" t="s">
        <v>406</v>
      </c>
      <c r="B99" s="540" t="s">
        <v>918</v>
      </c>
      <c r="C99" s="541" t="s">
        <v>407</v>
      </c>
      <c r="D99" s="297"/>
      <c r="E99" s="542">
        <v>0.25</v>
      </c>
      <c r="F99" s="543">
        <v>0</v>
      </c>
      <c r="G99" s="544">
        <v>0</v>
      </c>
      <c r="H99" s="542">
        <v>5.2631578947368286E-2</v>
      </c>
      <c r="I99" s="543">
        <v>0.18749999999999994</v>
      </c>
      <c r="J99" s="544">
        <v>0.27272727272727265</v>
      </c>
      <c r="K99" s="548">
        <v>0.95976732053948433</v>
      </c>
    </row>
    <row r="100" spans="1:11" ht="67.5" customHeight="1" x14ac:dyDescent="0.5">
      <c r="A100" s="288" t="s">
        <v>716</v>
      </c>
      <c r="B100" s="540" t="s">
        <v>918</v>
      </c>
      <c r="C100" s="541" t="s">
        <v>717</v>
      </c>
      <c r="D100" s="297"/>
      <c r="E100" s="542">
        <v>0.25</v>
      </c>
      <c r="F100" s="543">
        <v>0</v>
      </c>
      <c r="G100" s="544">
        <v>0</v>
      </c>
      <c r="H100" s="542">
        <v>0</v>
      </c>
      <c r="I100" s="543">
        <v>0.30555555555555547</v>
      </c>
      <c r="J100" s="544">
        <v>0</v>
      </c>
      <c r="K100" s="548">
        <v>0</v>
      </c>
    </row>
    <row r="101" spans="1:11" ht="67.5" customHeight="1" x14ac:dyDescent="0.5">
      <c r="A101" s="288" t="s">
        <v>600</v>
      </c>
      <c r="B101" s="540" t="s">
        <v>918</v>
      </c>
      <c r="C101" s="541" t="s">
        <v>601</v>
      </c>
      <c r="D101" s="295"/>
      <c r="E101" s="542">
        <v>0</v>
      </c>
      <c r="F101" s="543">
        <v>0</v>
      </c>
      <c r="G101" s="544">
        <v>0</v>
      </c>
      <c r="H101" s="542">
        <v>0</v>
      </c>
      <c r="I101" s="543">
        <v>0</v>
      </c>
      <c r="J101" s="544">
        <v>0</v>
      </c>
      <c r="K101" s="548">
        <v>0</v>
      </c>
    </row>
    <row r="102" spans="1:11" ht="67.5" customHeight="1" x14ac:dyDescent="0.5">
      <c r="A102" s="288" t="s">
        <v>598</v>
      </c>
      <c r="B102" s="540" t="s">
        <v>918</v>
      </c>
      <c r="C102" s="541" t="s">
        <v>599</v>
      </c>
      <c r="D102" s="295"/>
      <c r="E102" s="542">
        <v>0</v>
      </c>
      <c r="F102" s="543">
        <v>0</v>
      </c>
      <c r="G102" s="544">
        <v>0</v>
      </c>
      <c r="H102" s="542">
        <v>0</v>
      </c>
      <c r="I102" s="543">
        <v>0</v>
      </c>
      <c r="J102" s="544">
        <v>0</v>
      </c>
      <c r="K102" s="548">
        <v>0</v>
      </c>
    </row>
    <row r="103" spans="1:11" ht="67.5" customHeight="1" x14ac:dyDescent="0.5">
      <c r="A103" s="288" t="s">
        <v>289</v>
      </c>
      <c r="B103" s="540" t="s">
        <v>918</v>
      </c>
      <c r="C103" s="541" t="s">
        <v>290</v>
      </c>
      <c r="D103" s="295"/>
      <c r="E103" s="542">
        <v>0</v>
      </c>
      <c r="F103" s="543">
        <v>0</v>
      </c>
      <c r="G103" s="544">
        <v>0.25</v>
      </c>
      <c r="H103" s="542">
        <v>0</v>
      </c>
      <c r="I103" s="543">
        <v>0</v>
      </c>
      <c r="J103" s="544">
        <v>0</v>
      </c>
      <c r="K103" s="548">
        <v>0.25693222821153106</v>
      </c>
    </row>
    <row r="104" spans="1:11" ht="67.5" customHeight="1" x14ac:dyDescent="0.5">
      <c r="A104" s="288" t="s">
        <v>696</v>
      </c>
      <c r="B104" s="540" t="s">
        <v>918</v>
      </c>
      <c r="C104" s="541" t="s">
        <v>697</v>
      </c>
      <c r="D104" s="295"/>
      <c r="E104" s="542">
        <v>0.25</v>
      </c>
      <c r="F104" s="543">
        <v>0</v>
      </c>
      <c r="G104" s="544">
        <v>0.25</v>
      </c>
      <c r="H104" s="542">
        <v>0.31152204836415365</v>
      </c>
      <c r="I104" s="543">
        <v>0.30555555555555547</v>
      </c>
      <c r="J104" s="544">
        <v>0.41666666666666669</v>
      </c>
      <c r="K104" s="548">
        <v>0</v>
      </c>
    </row>
    <row r="105" spans="1:11" ht="67.5" customHeight="1" x14ac:dyDescent="0.5">
      <c r="A105" s="288" t="s">
        <v>751</v>
      </c>
      <c r="B105" s="540" t="s">
        <v>918</v>
      </c>
      <c r="C105" s="541" t="s">
        <v>752</v>
      </c>
      <c r="D105" s="295"/>
      <c r="E105" s="542">
        <v>0</v>
      </c>
      <c r="F105" s="543">
        <v>0</v>
      </c>
      <c r="G105" s="544">
        <v>0</v>
      </c>
      <c r="H105" s="542">
        <v>0</v>
      </c>
      <c r="I105" s="543">
        <v>0</v>
      </c>
      <c r="J105" s="544">
        <v>0</v>
      </c>
      <c r="K105" s="548">
        <v>0.23530207477416643</v>
      </c>
    </row>
    <row r="106" spans="1:11" ht="67.5" customHeight="1" x14ac:dyDescent="0.5">
      <c r="A106" s="288" t="s">
        <v>429</v>
      </c>
      <c r="B106" s="540" t="s">
        <v>918</v>
      </c>
      <c r="C106" s="541" t="s">
        <v>430</v>
      </c>
      <c r="D106" s="295"/>
      <c r="E106" s="542">
        <v>0</v>
      </c>
      <c r="F106" s="543">
        <v>0</v>
      </c>
      <c r="G106" s="544">
        <v>0.25</v>
      </c>
      <c r="H106" s="542">
        <v>0</v>
      </c>
      <c r="I106" s="543">
        <v>0</v>
      </c>
      <c r="J106" s="544">
        <v>0</v>
      </c>
      <c r="K106" s="548">
        <v>0</v>
      </c>
    </row>
    <row r="107" spans="1:11" ht="67.5" customHeight="1" x14ac:dyDescent="0.5">
      <c r="A107" s="288" t="s">
        <v>404</v>
      </c>
      <c r="B107" s="540" t="s">
        <v>918</v>
      </c>
      <c r="C107" s="541" t="s">
        <v>405</v>
      </c>
      <c r="D107" s="295"/>
      <c r="E107" s="542">
        <v>0</v>
      </c>
      <c r="F107" s="543">
        <v>0</v>
      </c>
      <c r="G107" s="544">
        <v>0</v>
      </c>
      <c r="H107" s="542">
        <v>5.2631578947368286E-2</v>
      </c>
      <c r="I107" s="543">
        <v>0</v>
      </c>
      <c r="J107" s="544">
        <v>0</v>
      </c>
      <c r="K107" s="548">
        <v>0</v>
      </c>
    </row>
    <row r="108" spans="1:11" ht="67.5" customHeight="1" x14ac:dyDescent="0.5">
      <c r="A108" s="288" t="s">
        <v>676</v>
      </c>
      <c r="B108" s="540" t="s">
        <v>918</v>
      </c>
      <c r="C108" s="541" t="s">
        <v>677</v>
      </c>
      <c r="D108" s="295"/>
      <c r="E108" s="542">
        <v>0</v>
      </c>
      <c r="F108" s="543">
        <v>0</v>
      </c>
      <c r="G108" s="544">
        <v>0</v>
      </c>
      <c r="H108" s="542">
        <v>0</v>
      </c>
      <c r="I108" s="543">
        <v>0</v>
      </c>
      <c r="J108" s="544">
        <v>0</v>
      </c>
      <c r="K108" s="548">
        <v>0</v>
      </c>
    </row>
    <row r="109" spans="1:11" ht="67.5" customHeight="1" x14ac:dyDescent="0.5">
      <c r="A109" s="288" t="s">
        <v>809</v>
      </c>
      <c r="B109" s="540" t="s">
        <v>918</v>
      </c>
      <c r="C109" s="541" t="s">
        <v>810</v>
      </c>
      <c r="D109" s="295"/>
      <c r="E109" s="542">
        <v>0</v>
      </c>
      <c r="F109" s="543">
        <v>0</v>
      </c>
      <c r="G109" s="544">
        <v>0</v>
      </c>
      <c r="H109" s="542">
        <v>1.5789473684210468E-2</v>
      </c>
      <c r="I109" s="543">
        <v>2.7777777777777679E-2</v>
      </c>
      <c r="J109" s="544">
        <v>8.3333333333333329E-2</v>
      </c>
      <c r="K109" s="548">
        <v>0</v>
      </c>
    </row>
    <row r="110" spans="1:11" ht="67.5" customHeight="1" x14ac:dyDescent="0.5">
      <c r="A110" s="288" t="s">
        <v>582</v>
      </c>
      <c r="B110" s="540" t="s">
        <v>918</v>
      </c>
      <c r="C110" s="541" t="s">
        <v>583</v>
      </c>
      <c r="D110" s="295"/>
      <c r="E110" s="542">
        <v>0.5</v>
      </c>
      <c r="F110" s="543">
        <v>0.25</v>
      </c>
      <c r="G110" s="544">
        <v>0.25</v>
      </c>
      <c r="H110" s="542">
        <v>0</v>
      </c>
      <c r="I110" s="543">
        <v>0</v>
      </c>
      <c r="J110" s="544">
        <v>0</v>
      </c>
      <c r="K110" s="548">
        <v>0</v>
      </c>
    </row>
    <row r="111" spans="1:11" ht="67.5" customHeight="1" x14ac:dyDescent="0.5">
      <c r="A111" s="288" t="s">
        <v>11</v>
      </c>
      <c r="B111" s="540" t="s">
        <v>918</v>
      </c>
      <c r="C111" s="541" t="s">
        <v>12</v>
      </c>
      <c r="D111" s="295"/>
      <c r="E111" s="542">
        <v>0</v>
      </c>
      <c r="F111" s="543">
        <v>0</v>
      </c>
      <c r="G111" s="544">
        <v>0</v>
      </c>
      <c r="H111" s="542">
        <v>5.2631578947368286E-2</v>
      </c>
      <c r="I111" s="543">
        <v>0.4375</v>
      </c>
      <c r="J111" s="544">
        <v>0.12727272727272729</v>
      </c>
      <c r="K111" s="548">
        <v>0</v>
      </c>
    </row>
    <row r="112" spans="1:11" ht="67.5" customHeight="1" x14ac:dyDescent="0.5">
      <c r="A112" s="288" t="s">
        <v>737</v>
      </c>
      <c r="B112" s="540" t="s">
        <v>918</v>
      </c>
      <c r="C112" s="541" t="s">
        <v>738</v>
      </c>
      <c r="D112" s="295"/>
      <c r="E112" s="542">
        <v>0</v>
      </c>
      <c r="F112" s="543">
        <v>0</v>
      </c>
      <c r="G112" s="544">
        <v>0</v>
      </c>
      <c r="H112" s="542">
        <v>0</v>
      </c>
      <c r="I112" s="543">
        <v>0</v>
      </c>
      <c r="J112" s="544">
        <v>0</v>
      </c>
      <c r="K112" s="548">
        <v>0.16490119099019457</v>
      </c>
    </row>
    <row r="113" spans="1:11" ht="67.5" customHeight="1" x14ac:dyDescent="0.5">
      <c r="A113" s="288" t="s">
        <v>596</v>
      </c>
      <c r="B113" s="540" t="s">
        <v>918</v>
      </c>
      <c r="C113" s="541" t="s">
        <v>597</v>
      </c>
      <c r="D113" s="295"/>
      <c r="E113" s="542">
        <v>0</v>
      </c>
      <c r="F113" s="543">
        <v>0</v>
      </c>
      <c r="G113" s="544">
        <v>0</v>
      </c>
      <c r="H113" s="542">
        <v>0</v>
      </c>
      <c r="I113" s="543">
        <v>0</v>
      </c>
      <c r="J113" s="544">
        <v>0</v>
      </c>
      <c r="K113" s="548">
        <v>0</v>
      </c>
    </row>
    <row r="114" spans="1:11" ht="67.5" customHeight="1" x14ac:dyDescent="0.5">
      <c r="A114" s="288" t="s">
        <v>700</v>
      </c>
      <c r="B114" s="540" t="s">
        <v>918</v>
      </c>
      <c r="C114" s="541" t="s">
        <v>701</v>
      </c>
      <c r="D114" s="298"/>
      <c r="E114" s="542">
        <v>0</v>
      </c>
      <c r="F114" s="543">
        <v>0</v>
      </c>
      <c r="G114" s="544">
        <v>0.5</v>
      </c>
      <c r="H114" s="542">
        <v>0.18634423897581784</v>
      </c>
      <c r="I114" s="543">
        <v>0.30555555555555547</v>
      </c>
      <c r="J114" s="544">
        <v>0.58333333333333337</v>
      </c>
      <c r="K114" s="548">
        <v>0</v>
      </c>
    </row>
    <row r="115" spans="1:11" ht="67.5" customHeight="1" x14ac:dyDescent="0.5">
      <c r="A115" s="288" t="s">
        <v>678</v>
      </c>
      <c r="B115" s="540" t="s">
        <v>918</v>
      </c>
      <c r="C115" s="541" t="s">
        <v>679</v>
      </c>
      <c r="D115" s="295"/>
      <c r="E115" s="542">
        <v>0</v>
      </c>
      <c r="F115" s="543">
        <v>0.25</v>
      </c>
      <c r="G115" s="544">
        <v>0.5</v>
      </c>
      <c r="H115" s="542">
        <v>0.37411095305832143</v>
      </c>
      <c r="I115" s="543">
        <v>0.7222222222222221</v>
      </c>
      <c r="J115" s="544">
        <v>0.91666666666666663</v>
      </c>
      <c r="K115" s="548">
        <v>0.14394944019107986</v>
      </c>
    </row>
    <row r="116" spans="1:11" ht="67.5" customHeight="1" x14ac:dyDescent="0.5">
      <c r="A116" s="288" t="s">
        <v>262</v>
      </c>
      <c r="B116" s="540" t="s">
        <v>918</v>
      </c>
      <c r="C116" s="541" t="s">
        <v>263</v>
      </c>
      <c r="D116" s="295"/>
      <c r="E116" s="542">
        <v>0.75</v>
      </c>
      <c r="F116" s="543">
        <v>1</v>
      </c>
      <c r="G116" s="544">
        <v>1</v>
      </c>
      <c r="H116" s="542">
        <v>0.15789473684210514</v>
      </c>
      <c r="I116" s="543">
        <v>0.25</v>
      </c>
      <c r="J116" s="544">
        <v>3.7037037037037125E-2</v>
      </c>
      <c r="K116" s="548">
        <v>0.35959153885597023</v>
      </c>
    </row>
    <row r="117" spans="1:11" ht="67.5" customHeight="1" x14ac:dyDescent="0.5">
      <c r="A117" s="288" t="s">
        <v>329</v>
      </c>
      <c r="B117" s="540" t="s">
        <v>918</v>
      </c>
      <c r="C117" s="541" t="s">
        <v>330</v>
      </c>
      <c r="D117" s="295"/>
      <c r="E117" s="542">
        <v>0</v>
      </c>
      <c r="F117" s="543">
        <v>0</v>
      </c>
      <c r="G117" s="544">
        <v>0</v>
      </c>
      <c r="H117" s="542">
        <v>0</v>
      </c>
      <c r="I117" s="543">
        <v>0</v>
      </c>
      <c r="J117" s="544">
        <v>0</v>
      </c>
      <c r="K117" s="548">
        <v>0.22810457072331908</v>
      </c>
    </row>
    <row r="118" spans="1:11" ht="67.5" customHeight="1" x14ac:dyDescent="0.5">
      <c r="A118" s="288" t="s">
        <v>841</v>
      </c>
      <c r="B118" s="540" t="s">
        <v>918</v>
      </c>
      <c r="C118" s="541" t="s">
        <v>842</v>
      </c>
      <c r="D118" s="295"/>
      <c r="E118" s="542">
        <v>0.5</v>
      </c>
      <c r="F118" s="543">
        <v>0.25</v>
      </c>
      <c r="G118" s="544">
        <v>0</v>
      </c>
      <c r="H118" s="542">
        <v>0.42105263157894735</v>
      </c>
      <c r="I118" s="543">
        <v>0.58333333333333337</v>
      </c>
      <c r="J118" s="544">
        <v>1</v>
      </c>
      <c r="K118" s="548">
        <v>0</v>
      </c>
    </row>
    <row r="119" spans="1:11" ht="67.5" customHeight="1" x14ac:dyDescent="0.5">
      <c r="A119" s="288" t="s">
        <v>365</v>
      </c>
      <c r="B119" s="540" t="s">
        <v>918</v>
      </c>
      <c r="C119" s="541" t="s">
        <v>366</v>
      </c>
      <c r="D119" s="295"/>
      <c r="E119" s="542">
        <v>0</v>
      </c>
      <c r="F119" s="543">
        <v>0</v>
      </c>
      <c r="G119" s="544">
        <v>0</v>
      </c>
      <c r="H119" s="542">
        <v>0</v>
      </c>
      <c r="I119" s="543">
        <v>0</v>
      </c>
      <c r="J119" s="544">
        <v>0</v>
      </c>
      <c r="K119" s="548">
        <v>0.14997400547235107</v>
      </c>
    </row>
    <row r="120" spans="1:11" ht="67.5" customHeight="1" x14ac:dyDescent="0.5">
      <c r="A120" s="288" t="s">
        <v>353</v>
      </c>
      <c r="B120" s="540" t="s">
        <v>918</v>
      </c>
      <c r="C120" s="541" t="s">
        <v>354</v>
      </c>
      <c r="D120" s="295"/>
      <c r="E120" s="542">
        <v>0.5</v>
      </c>
      <c r="F120" s="543">
        <v>0</v>
      </c>
      <c r="G120" s="544">
        <v>0</v>
      </c>
      <c r="H120" s="542">
        <v>0</v>
      </c>
      <c r="I120" s="543">
        <v>0</v>
      </c>
      <c r="J120" s="544">
        <v>0</v>
      </c>
      <c r="K120" s="548">
        <v>0</v>
      </c>
    </row>
    <row r="121" spans="1:11" ht="67.5" customHeight="1" x14ac:dyDescent="0.5">
      <c r="A121" s="288" t="s">
        <v>327</v>
      </c>
      <c r="B121" s="540" t="s">
        <v>918</v>
      </c>
      <c r="C121" s="541" t="s">
        <v>328</v>
      </c>
      <c r="D121" s="295"/>
      <c r="E121" s="542">
        <v>0</v>
      </c>
      <c r="F121" s="543">
        <v>0</v>
      </c>
      <c r="G121" s="544">
        <v>0</v>
      </c>
      <c r="H121" s="542">
        <v>0</v>
      </c>
      <c r="I121" s="543">
        <v>0</v>
      </c>
      <c r="J121" s="544">
        <v>0</v>
      </c>
      <c r="K121" s="548">
        <v>0.2213079101551165</v>
      </c>
    </row>
    <row r="122" spans="1:11" ht="67.5" customHeight="1" x14ac:dyDescent="0.5">
      <c r="A122" s="288" t="s">
        <v>837</v>
      </c>
      <c r="B122" s="540" t="s">
        <v>918</v>
      </c>
      <c r="C122" s="541" t="s">
        <v>838</v>
      </c>
      <c r="D122" s="295"/>
      <c r="E122" s="542">
        <v>0</v>
      </c>
      <c r="F122" s="543">
        <v>0.25</v>
      </c>
      <c r="G122" s="544">
        <v>0.25</v>
      </c>
      <c r="H122" s="542">
        <v>7.3684210526315755E-2</v>
      </c>
      <c r="I122" s="543">
        <v>0</v>
      </c>
      <c r="J122" s="544">
        <v>0</v>
      </c>
      <c r="K122" s="548">
        <v>6.1409059664694482E-2</v>
      </c>
    </row>
    <row r="123" spans="1:11" ht="67.5" customHeight="1" x14ac:dyDescent="0.5">
      <c r="A123" s="288" t="s">
        <v>309</v>
      </c>
      <c r="B123" s="540" t="s">
        <v>918</v>
      </c>
      <c r="C123" s="541" t="s">
        <v>310</v>
      </c>
      <c r="D123" s="295"/>
      <c r="E123" s="542">
        <v>0.25</v>
      </c>
      <c r="F123" s="543">
        <v>0</v>
      </c>
      <c r="G123" s="544">
        <v>0</v>
      </c>
      <c r="H123" s="542">
        <v>0</v>
      </c>
      <c r="I123" s="543">
        <v>0</v>
      </c>
      <c r="J123" s="544">
        <v>0</v>
      </c>
      <c r="K123" s="548">
        <v>1.4590857335560108E-2</v>
      </c>
    </row>
    <row r="124" spans="1:11" ht="67.5" customHeight="1" x14ac:dyDescent="0.5">
      <c r="A124" s="288" t="s">
        <v>402</v>
      </c>
      <c r="B124" s="540" t="s">
        <v>918</v>
      </c>
      <c r="C124" s="541" t="s">
        <v>403</v>
      </c>
      <c r="D124" s="295"/>
      <c r="E124" s="542">
        <v>0.5</v>
      </c>
      <c r="F124" s="543">
        <v>0.5</v>
      </c>
      <c r="G124" s="544">
        <v>0.25</v>
      </c>
      <c r="H124" s="542">
        <v>0.36842105263157898</v>
      </c>
      <c r="I124" s="543">
        <v>0.6875</v>
      </c>
      <c r="J124" s="544">
        <v>0.78181818181818186</v>
      </c>
      <c r="K124" s="548">
        <v>6.3712704305824958E-2</v>
      </c>
    </row>
    <row r="125" spans="1:11" ht="67.5" customHeight="1" x14ac:dyDescent="0.5">
      <c r="A125" s="288" t="s">
        <v>674</v>
      </c>
      <c r="B125" s="540" t="s">
        <v>918</v>
      </c>
      <c r="C125" s="541" t="s">
        <v>675</v>
      </c>
      <c r="D125" s="295"/>
      <c r="E125" s="542">
        <v>0</v>
      </c>
      <c r="F125" s="543">
        <v>0</v>
      </c>
      <c r="G125" s="544">
        <v>0</v>
      </c>
      <c r="H125" s="542">
        <v>0</v>
      </c>
      <c r="I125" s="543">
        <v>0.23611111111111102</v>
      </c>
      <c r="J125" s="544">
        <v>0.5</v>
      </c>
      <c r="K125" s="548">
        <v>0</v>
      </c>
    </row>
    <row r="126" spans="1:11" ht="67.5" customHeight="1" x14ac:dyDescent="0.5">
      <c r="A126" s="288" t="s">
        <v>349</v>
      </c>
      <c r="B126" s="540" t="s">
        <v>918</v>
      </c>
      <c r="C126" s="541" t="s">
        <v>350</v>
      </c>
      <c r="D126" s="295"/>
      <c r="E126" s="542">
        <v>0</v>
      </c>
      <c r="F126" s="543">
        <v>0</v>
      </c>
      <c r="G126" s="544">
        <v>0.25</v>
      </c>
      <c r="H126" s="542">
        <v>0</v>
      </c>
      <c r="I126" s="543">
        <v>0</v>
      </c>
      <c r="J126" s="544">
        <v>0</v>
      </c>
      <c r="K126" s="548">
        <v>0</v>
      </c>
    </row>
    <row r="127" spans="1:11" ht="67.5" customHeight="1" x14ac:dyDescent="0.5">
      <c r="A127" s="288" t="s">
        <v>323</v>
      </c>
      <c r="B127" s="540" t="s">
        <v>918</v>
      </c>
      <c r="C127" s="541" t="s">
        <v>324</v>
      </c>
      <c r="D127" s="295"/>
      <c r="E127" s="542">
        <v>0</v>
      </c>
      <c r="F127" s="543">
        <v>0</v>
      </c>
      <c r="G127" s="544">
        <v>0</v>
      </c>
      <c r="H127" s="542">
        <v>0</v>
      </c>
      <c r="I127" s="543">
        <v>0</v>
      </c>
      <c r="J127" s="544">
        <v>0</v>
      </c>
      <c r="K127" s="548">
        <v>0</v>
      </c>
    </row>
    <row r="128" spans="1:11" ht="67.5" customHeight="1" x14ac:dyDescent="0.5">
      <c r="A128" s="288" t="s">
        <v>755</v>
      </c>
      <c r="B128" s="540" t="s">
        <v>918</v>
      </c>
      <c r="C128" s="541" t="s">
        <v>756</v>
      </c>
      <c r="D128" s="295"/>
      <c r="E128" s="542">
        <v>0</v>
      </c>
      <c r="F128" s="543">
        <v>0</v>
      </c>
      <c r="G128" s="544">
        <v>0</v>
      </c>
      <c r="H128" s="542">
        <v>0</v>
      </c>
      <c r="I128" s="543">
        <v>0</v>
      </c>
      <c r="J128" s="544">
        <v>0</v>
      </c>
      <c r="K128" s="548">
        <v>0.11132009376044208</v>
      </c>
    </row>
    <row r="129" spans="1:11" ht="67.5" customHeight="1" x14ac:dyDescent="0.5">
      <c r="A129" s="288" t="s">
        <v>638</v>
      </c>
      <c r="B129" s="540" t="s">
        <v>918</v>
      </c>
      <c r="C129" s="541" t="s">
        <v>639</v>
      </c>
      <c r="D129" s="295"/>
      <c r="E129" s="542">
        <v>0.25</v>
      </c>
      <c r="F129" s="543">
        <v>0.25</v>
      </c>
      <c r="G129" s="544">
        <v>0.25</v>
      </c>
      <c r="H129" s="542">
        <v>0</v>
      </c>
      <c r="I129" s="543">
        <v>0.25675675675675674</v>
      </c>
      <c r="J129" s="544">
        <v>0.19191919191919191</v>
      </c>
      <c r="K129" s="548">
        <v>0</v>
      </c>
    </row>
    <row r="130" spans="1:11" ht="67.5" customHeight="1" x14ac:dyDescent="0.5">
      <c r="A130" s="288" t="s">
        <v>285</v>
      </c>
      <c r="B130" s="540" t="s">
        <v>918</v>
      </c>
      <c r="C130" s="541" t="s">
        <v>286</v>
      </c>
      <c r="D130" s="295"/>
      <c r="E130" s="542">
        <v>0.25</v>
      </c>
      <c r="F130" s="543">
        <v>0</v>
      </c>
      <c r="G130" s="544">
        <v>0</v>
      </c>
      <c r="H130" s="542">
        <v>0</v>
      </c>
      <c r="I130" s="543">
        <v>0</v>
      </c>
      <c r="J130" s="544">
        <v>0</v>
      </c>
      <c r="K130" s="548">
        <v>6.5800704920274247E-2</v>
      </c>
    </row>
    <row r="131" spans="1:11" ht="67.5" customHeight="1" x14ac:dyDescent="0.5">
      <c r="A131" s="288" t="s">
        <v>303</v>
      </c>
      <c r="B131" s="540" t="s">
        <v>918</v>
      </c>
      <c r="C131" s="541" t="s">
        <v>304</v>
      </c>
      <c r="D131" s="295"/>
      <c r="E131" s="542">
        <v>0</v>
      </c>
      <c r="F131" s="543">
        <v>0</v>
      </c>
      <c r="G131" s="544">
        <v>0</v>
      </c>
      <c r="H131" s="542">
        <v>0</v>
      </c>
      <c r="I131" s="543">
        <v>0</v>
      </c>
      <c r="J131" s="544">
        <v>0</v>
      </c>
      <c r="K131" s="548">
        <v>0.14918297758384516</v>
      </c>
    </row>
    <row r="132" spans="1:11" ht="67.5" customHeight="1" x14ac:dyDescent="0.5">
      <c r="A132" s="288" t="s">
        <v>345</v>
      </c>
      <c r="B132" s="540" t="s">
        <v>918</v>
      </c>
      <c r="C132" s="541" t="s">
        <v>346</v>
      </c>
      <c r="D132" s="295"/>
      <c r="E132" s="542">
        <v>0</v>
      </c>
      <c r="F132" s="543">
        <v>0</v>
      </c>
      <c r="G132" s="544">
        <v>0</v>
      </c>
      <c r="H132" s="542">
        <v>0</v>
      </c>
      <c r="I132" s="543">
        <v>0</v>
      </c>
      <c r="J132" s="544">
        <v>0</v>
      </c>
      <c r="K132" s="548">
        <v>0</v>
      </c>
    </row>
    <row r="133" spans="1:11" ht="67.5" customHeight="1" x14ac:dyDescent="0.5">
      <c r="A133" s="288" t="s">
        <v>791</v>
      </c>
      <c r="B133" s="540" t="s">
        <v>918</v>
      </c>
      <c r="C133" s="541" t="s">
        <v>792</v>
      </c>
      <c r="D133" s="295"/>
      <c r="E133" s="542">
        <v>0</v>
      </c>
      <c r="F133" s="543">
        <v>0</v>
      </c>
      <c r="G133" s="544">
        <v>0</v>
      </c>
      <c r="H133" s="542">
        <v>7.3684210526315755E-2</v>
      </c>
      <c r="I133" s="543">
        <v>0</v>
      </c>
      <c r="J133" s="544">
        <v>0.16666666666666666</v>
      </c>
      <c r="K133" s="548">
        <v>2.5846545974744915E-2</v>
      </c>
    </row>
    <row r="134" spans="1:11" ht="67.5" customHeight="1" x14ac:dyDescent="0.5">
      <c r="A134" s="288" t="s">
        <v>817</v>
      </c>
      <c r="B134" s="540" t="s">
        <v>918</v>
      </c>
      <c r="C134" s="541" t="s">
        <v>818</v>
      </c>
      <c r="D134" s="295"/>
      <c r="E134" s="542">
        <v>0</v>
      </c>
      <c r="F134" s="543">
        <v>0</v>
      </c>
      <c r="G134" s="544">
        <v>0</v>
      </c>
      <c r="H134" s="542">
        <v>7.3684210526315755E-2</v>
      </c>
      <c r="I134" s="543">
        <v>2.7777777777777679E-2</v>
      </c>
      <c r="J134" s="544">
        <v>0.16666666666666666</v>
      </c>
      <c r="K134" s="548">
        <v>0</v>
      </c>
    </row>
    <row r="135" spans="1:11" ht="67.5" customHeight="1" x14ac:dyDescent="0.5">
      <c r="A135" s="288" t="s">
        <v>616</v>
      </c>
      <c r="B135" s="540" t="s">
        <v>918</v>
      </c>
      <c r="C135" s="541" t="s">
        <v>617</v>
      </c>
      <c r="D135" s="295"/>
      <c r="E135" s="542">
        <v>0.25</v>
      </c>
      <c r="F135" s="543">
        <v>0</v>
      </c>
      <c r="G135" s="544">
        <v>0</v>
      </c>
      <c r="H135" s="542">
        <v>0</v>
      </c>
      <c r="I135" s="543">
        <v>0</v>
      </c>
      <c r="J135" s="544">
        <v>0</v>
      </c>
      <c r="K135" s="548">
        <v>0</v>
      </c>
    </row>
    <row r="136" spans="1:11" ht="67.5" customHeight="1" x14ac:dyDescent="0.5">
      <c r="A136" s="288" t="s">
        <v>369</v>
      </c>
      <c r="B136" s="540" t="s">
        <v>918</v>
      </c>
      <c r="C136" s="541" t="s">
        <v>370</v>
      </c>
      <c r="D136" s="295"/>
      <c r="E136" s="542">
        <v>0.25</v>
      </c>
      <c r="F136" s="543">
        <v>0.25</v>
      </c>
      <c r="G136" s="544">
        <v>0.25</v>
      </c>
      <c r="H136" s="542">
        <v>0</v>
      </c>
      <c r="I136" s="543">
        <v>0</v>
      </c>
      <c r="J136" s="544">
        <v>0</v>
      </c>
      <c r="K136" s="548">
        <v>0.30330969546491054</v>
      </c>
    </row>
    <row r="137" spans="1:11" ht="67.5" customHeight="1" x14ac:dyDescent="0.5">
      <c r="A137" s="288" t="s">
        <v>363</v>
      </c>
      <c r="B137" s="540" t="s">
        <v>918</v>
      </c>
      <c r="C137" s="541" t="s">
        <v>364</v>
      </c>
      <c r="D137" s="295"/>
      <c r="E137" s="542">
        <v>0</v>
      </c>
      <c r="F137" s="543">
        <v>0</v>
      </c>
      <c r="G137" s="544">
        <v>0</v>
      </c>
      <c r="H137" s="542">
        <v>1.5789473684210468E-2</v>
      </c>
      <c r="I137" s="543">
        <v>0</v>
      </c>
      <c r="J137" s="544">
        <v>3.7037037037037125E-2</v>
      </c>
      <c r="K137" s="548">
        <v>0.20246638949031417</v>
      </c>
    </row>
    <row r="138" spans="1:11" ht="67.5" customHeight="1" x14ac:dyDescent="0.5">
      <c r="A138" s="288" t="s">
        <v>435</v>
      </c>
      <c r="B138" s="540" t="s">
        <v>918</v>
      </c>
      <c r="C138" s="541" t="s">
        <v>436</v>
      </c>
      <c r="D138" s="295"/>
      <c r="E138" s="542">
        <v>0</v>
      </c>
      <c r="F138" s="543">
        <v>0</v>
      </c>
      <c r="G138" s="544">
        <v>0</v>
      </c>
      <c r="H138" s="542">
        <v>1.5789473684210468E-2</v>
      </c>
      <c r="I138" s="543">
        <v>2.7777777777777679E-2</v>
      </c>
      <c r="J138" s="544">
        <v>0.16666666666666666</v>
      </c>
      <c r="K138" s="548">
        <v>0</v>
      </c>
    </row>
    <row r="139" spans="1:11" ht="67.5" customHeight="1" x14ac:dyDescent="0.5">
      <c r="A139" s="288" t="s">
        <v>408</v>
      </c>
      <c r="B139" s="540" t="s">
        <v>918</v>
      </c>
      <c r="C139" s="541" t="s">
        <v>409</v>
      </c>
      <c r="D139" s="295"/>
      <c r="E139" s="542">
        <v>0.5</v>
      </c>
      <c r="F139" s="543">
        <v>1</v>
      </c>
      <c r="G139" s="544">
        <v>1</v>
      </c>
      <c r="H139" s="542">
        <v>0.94736842105263164</v>
      </c>
      <c r="I139" s="543">
        <v>0.81249999999999989</v>
      </c>
      <c r="J139" s="544">
        <v>1</v>
      </c>
      <c r="K139" s="548">
        <v>0.55800246154965683</v>
      </c>
    </row>
    <row r="140" spans="1:11" ht="67.5" customHeight="1" x14ac:dyDescent="0.5">
      <c r="A140" s="288" t="s">
        <v>268</v>
      </c>
      <c r="B140" s="540" t="s">
        <v>918</v>
      </c>
      <c r="C140" s="541" t="s">
        <v>269</v>
      </c>
      <c r="D140" s="295"/>
      <c r="E140" s="542">
        <v>0.5</v>
      </c>
      <c r="F140" s="543">
        <v>0.5</v>
      </c>
      <c r="G140" s="544">
        <v>0</v>
      </c>
      <c r="H140" s="542">
        <v>7.3684210526315755E-2</v>
      </c>
      <c r="I140" s="543">
        <v>0.16666666666666677</v>
      </c>
      <c r="J140" s="544">
        <v>0.40740740740740744</v>
      </c>
      <c r="K140" s="548">
        <v>0.11552509846227214</v>
      </c>
    </row>
    <row r="141" spans="1:11" ht="67.5" customHeight="1" x14ac:dyDescent="0.5">
      <c r="A141" s="288" t="s">
        <v>307</v>
      </c>
      <c r="B141" s="540" t="s">
        <v>918</v>
      </c>
      <c r="C141" s="541" t="s">
        <v>308</v>
      </c>
      <c r="D141" s="295"/>
      <c r="E141" s="542">
        <v>0</v>
      </c>
      <c r="F141" s="543">
        <v>0</v>
      </c>
      <c r="G141" s="544">
        <v>0</v>
      </c>
      <c r="H141" s="542">
        <v>7.3684210526315755E-2</v>
      </c>
      <c r="I141" s="543">
        <v>0.32432432432432423</v>
      </c>
      <c r="J141" s="544">
        <v>0.55555555555555569</v>
      </c>
      <c r="K141" s="548">
        <v>0.47532419426255268</v>
      </c>
    </row>
    <row r="142" spans="1:11" ht="67.5" customHeight="1" x14ac:dyDescent="0.5">
      <c r="A142" s="288" t="s">
        <v>325</v>
      </c>
      <c r="B142" s="540" t="s">
        <v>918</v>
      </c>
      <c r="C142" s="541" t="s">
        <v>326</v>
      </c>
      <c r="D142" s="295"/>
      <c r="E142" s="542">
        <v>0</v>
      </c>
      <c r="F142" s="543">
        <v>0.25</v>
      </c>
      <c r="G142" s="544">
        <v>0</v>
      </c>
      <c r="H142" s="542">
        <v>0</v>
      </c>
      <c r="I142" s="543">
        <v>0</v>
      </c>
      <c r="J142" s="544">
        <v>0</v>
      </c>
      <c r="K142" s="548">
        <v>0.16712324184489202</v>
      </c>
    </row>
    <row r="143" spans="1:11" ht="67.5" customHeight="1" x14ac:dyDescent="0.5">
      <c r="A143" s="288" t="s">
        <v>313</v>
      </c>
      <c r="B143" s="540" t="s">
        <v>918</v>
      </c>
      <c r="C143" s="541" t="s">
        <v>314</v>
      </c>
      <c r="D143" s="295"/>
      <c r="E143" s="542">
        <v>0</v>
      </c>
      <c r="F143" s="543">
        <v>0</v>
      </c>
      <c r="G143" s="544">
        <v>0</v>
      </c>
      <c r="H143" s="542">
        <v>0.24736842105263154</v>
      </c>
      <c r="I143" s="543">
        <v>0.32432432432432423</v>
      </c>
      <c r="J143" s="544">
        <v>0.33333333333333331</v>
      </c>
      <c r="K143" s="548">
        <v>5.5669800414046032E-2</v>
      </c>
    </row>
    <row r="144" spans="1:11" ht="67.5" customHeight="1" x14ac:dyDescent="0.5">
      <c r="A144" s="288" t="s">
        <v>264</v>
      </c>
      <c r="B144" s="540" t="s">
        <v>918</v>
      </c>
      <c r="C144" s="541" t="s">
        <v>265</v>
      </c>
      <c r="D144" s="295"/>
      <c r="E144" s="542">
        <v>0</v>
      </c>
      <c r="F144" s="543">
        <v>0</v>
      </c>
      <c r="G144" s="544">
        <v>0</v>
      </c>
      <c r="H144" s="542">
        <v>1.5789473684210468E-2</v>
      </c>
      <c r="I144" s="543">
        <v>2.7777777777777679E-2</v>
      </c>
      <c r="J144" s="544">
        <v>0.11111111111111123</v>
      </c>
      <c r="K144" s="548">
        <v>0.19252221235875597</v>
      </c>
    </row>
    <row r="145" spans="1:11" ht="67.5" customHeight="1" x14ac:dyDescent="0.5">
      <c r="A145" s="288" t="s">
        <v>266</v>
      </c>
      <c r="B145" s="540" t="s">
        <v>918</v>
      </c>
      <c r="C145" s="541" t="s">
        <v>267</v>
      </c>
      <c r="D145" s="295"/>
      <c r="E145" s="542">
        <v>1</v>
      </c>
      <c r="F145" s="543">
        <v>1</v>
      </c>
      <c r="G145" s="544">
        <v>1</v>
      </c>
      <c r="H145" s="542">
        <v>0.24736842105263154</v>
      </c>
      <c r="I145" s="543">
        <v>0.37499999999999994</v>
      </c>
      <c r="J145" s="544">
        <v>0.70370370370370361</v>
      </c>
      <c r="K145" s="548">
        <v>0.20395281795671605</v>
      </c>
    </row>
    <row r="146" spans="1:11" ht="67.5" customHeight="1" x14ac:dyDescent="0.5">
      <c r="A146" s="288" t="s">
        <v>578</v>
      </c>
      <c r="B146" s="540" t="s">
        <v>918</v>
      </c>
      <c r="C146" s="541" t="s">
        <v>579</v>
      </c>
      <c r="D146" s="295"/>
      <c r="E146" s="542">
        <v>0.25</v>
      </c>
      <c r="F146" s="543">
        <v>0</v>
      </c>
      <c r="G146" s="544">
        <v>0</v>
      </c>
      <c r="H146" s="542">
        <v>0</v>
      </c>
      <c r="I146" s="543">
        <v>0</v>
      </c>
      <c r="J146" s="544">
        <v>0</v>
      </c>
      <c r="K146" s="548">
        <v>0</v>
      </c>
    </row>
    <row r="147" spans="1:11" ht="67.5" customHeight="1" x14ac:dyDescent="0.5">
      <c r="A147" s="288" t="s">
        <v>305</v>
      </c>
      <c r="B147" s="540" t="s">
        <v>918</v>
      </c>
      <c r="C147" s="541" t="s">
        <v>306</v>
      </c>
      <c r="D147" s="295"/>
      <c r="E147" s="542">
        <v>0</v>
      </c>
      <c r="F147" s="543">
        <v>0</v>
      </c>
      <c r="G147" s="544">
        <v>0</v>
      </c>
      <c r="H147" s="542">
        <v>7.3684210526315755E-2</v>
      </c>
      <c r="I147" s="543">
        <v>0.18918918918918912</v>
      </c>
      <c r="J147" s="544">
        <v>0.18518518518518512</v>
      </c>
      <c r="K147" s="548">
        <v>0.10301409452211296</v>
      </c>
    </row>
    <row r="148" spans="1:11" ht="67.5" customHeight="1" x14ac:dyDescent="0.5">
      <c r="A148" s="288" t="s">
        <v>283</v>
      </c>
      <c r="B148" s="540" t="s">
        <v>918</v>
      </c>
      <c r="C148" s="541" t="s">
        <v>284</v>
      </c>
      <c r="D148" s="295"/>
      <c r="E148" s="542">
        <v>0</v>
      </c>
      <c r="F148" s="543">
        <v>0</v>
      </c>
      <c r="G148" s="544">
        <v>0</v>
      </c>
      <c r="H148" s="542">
        <v>0</v>
      </c>
      <c r="I148" s="543">
        <v>0</v>
      </c>
      <c r="J148" s="544">
        <v>0</v>
      </c>
      <c r="K148" s="548">
        <v>8.9382321578062598E-2</v>
      </c>
    </row>
    <row r="149" spans="1:11" ht="67.5" customHeight="1" x14ac:dyDescent="0.5">
      <c r="A149" s="288" t="s">
        <v>291</v>
      </c>
      <c r="B149" s="540" t="s">
        <v>918</v>
      </c>
      <c r="C149" s="541" t="s">
        <v>292</v>
      </c>
      <c r="D149" s="295" t="s">
        <v>949</v>
      </c>
      <c r="E149" s="542">
        <v>0</v>
      </c>
      <c r="F149" s="543">
        <v>0</v>
      </c>
      <c r="G149" s="544">
        <v>0</v>
      </c>
      <c r="H149" s="542">
        <v>0</v>
      </c>
      <c r="I149" s="543">
        <v>0</v>
      </c>
      <c r="J149" s="544">
        <v>0</v>
      </c>
      <c r="K149" s="548">
        <v>9.2801429330154547E-2</v>
      </c>
    </row>
    <row r="150" spans="1:11" ht="67.5" customHeight="1" x14ac:dyDescent="0.5">
      <c r="A150" s="288" t="s">
        <v>511</v>
      </c>
      <c r="B150" s="540" t="s">
        <v>918</v>
      </c>
      <c r="C150" s="541" t="s">
        <v>512</v>
      </c>
      <c r="D150" s="295"/>
      <c r="E150" s="542">
        <v>0</v>
      </c>
      <c r="F150" s="543">
        <v>0</v>
      </c>
      <c r="G150" s="544">
        <v>0</v>
      </c>
      <c r="H150" s="542">
        <v>0</v>
      </c>
      <c r="I150" s="543">
        <v>0</v>
      </c>
      <c r="J150" s="544">
        <v>0</v>
      </c>
      <c r="K150" s="548">
        <v>0</v>
      </c>
    </row>
    <row r="151" spans="1:11" ht="67.5" customHeight="1" x14ac:dyDescent="0.5">
      <c r="A151" s="292" t="s">
        <v>606</v>
      </c>
      <c r="B151" s="540" t="s">
        <v>918</v>
      </c>
      <c r="C151" s="541" t="s">
        <v>607</v>
      </c>
      <c r="D151" s="295"/>
      <c r="E151" s="542">
        <v>0</v>
      </c>
      <c r="F151" s="543">
        <v>0.5</v>
      </c>
      <c r="G151" s="544">
        <v>1</v>
      </c>
      <c r="H151" s="542">
        <v>0.5368421052631579</v>
      </c>
      <c r="I151" s="543">
        <v>0.72972972972972971</v>
      </c>
      <c r="J151" s="544">
        <v>0.91919191919191912</v>
      </c>
      <c r="K151" s="548">
        <v>0.65334148571065132</v>
      </c>
    </row>
    <row r="152" spans="1:11" ht="67.5" customHeight="1" x14ac:dyDescent="0.5">
      <c r="A152" s="288" t="s">
        <v>473</v>
      </c>
      <c r="B152" s="540" t="s">
        <v>918</v>
      </c>
      <c r="C152" s="541" t="s">
        <v>474</v>
      </c>
      <c r="D152" s="295"/>
      <c r="E152" s="542">
        <v>0</v>
      </c>
      <c r="F152" s="543">
        <v>0</v>
      </c>
      <c r="G152" s="544">
        <v>0.25</v>
      </c>
      <c r="H152" s="542">
        <v>7.3684210526315755E-2</v>
      </c>
      <c r="I152" s="543">
        <v>0</v>
      </c>
      <c r="J152" s="544">
        <v>0</v>
      </c>
      <c r="K152" s="548">
        <v>0</v>
      </c>
    </row>
    <row r="153" spans="1:11" ht="67.5" customHeight="1" x14ac:dyDescent="0.5">
      <c r="A153" s="292" t="s">
        <v>718</v>
      </c>
      <c r="B153" s="540" t="s">
        <v>918</v>
      </c>
      <c r="C153" s="541" t="s">
        <v>719</v>
      </c>
      <c r="D153" s="295"/>
      <c r="E153" s="542">
        <v>0.5</v>
      </c>
      <c r="F153" s="543">
        <v>1</v>
      </c>
      <c r="G153" s="544">
        <v>1</v>
      </c>
      <c r="H153" s="542">
        <v>0.68705547652916077</v>
      </c>
      <c r="I153" s="543">
        <v>0.7222222222222221</v>
      </c>
      <c r="J153" s="544">
        <v>0.91666666666666663</v>
      </c>
      <c r="K153" s="548">
        <v>0.76040884809974107</v>
      </c>
    </row>
    <row r="154" spans="1:11" ht="67.5" customHeight="1" x14ac:dyDescent="0.5">
      <c r="A154" s="288" t="s">
        <v>769</v>
      </c>
      <c r="B154" s="540" t="s">
        <v>918</v>
      </c>
      <c r="C154" s="541" t="s">
        <v>770</v>
      </c>
      <c r="D154" s="295"/>
      <c r="E154" s="542">
        <v>0</v>
      </c>
      <c r="F154" s="543">
        <v>0</v>
      </c>
      <c r="G154" s="544">
        <v>0</v>
      </c>
      <c r="H154" s="542">
        <v>0</v>
      </c>
      <c r="I154" s="543">
        <v>0</v>
      </c>
      <c r="J154" s="544">
        <v>0</v>
      </c>
      <c r="K154" s="548">
        <v>0.29281848262037907</v>
      </c>
    </row>
    <row r="155" spans="1:11" ht="67.5" customHeight="1" x14ac:dyDescent="0.5">
      <c r="A155" s="288" t="s">
        <v>811</v>
      </c>
      <c r="B155" s="540" t="s">
        <v>918</v>
      </c>
      <c r="C155" s="541" t="s">
        <v>812</v>
      </c>
      <c r="D155" s="295"/>
      <c r="E155" s="542">
        <v>0</v>
      </c>
      <c r="F155" s="543">
        <v>0</v>
      </c>
      <c r="G155" s="544">
        <v>0</v>
      </c>
      <c r="H155" s="542">
        <v>0</v>
      </c>
      <c r="I155" s="543">
        <v>0</v>
      </c>
      <c r="J155" s="544">
        <v>0</v>
      </c>
      <c r="K155" s="548">
        <v>0</v>
      </c>
    </row>
    <row r="156" spans="1:11" ht="67.5" customHeight="1" x14ac:dyDescent="0.5">
      <c r="A156" s="288" t="s">
        <v>656</v>
      </c>
      <c r="B156" s="540" t="s">
        <v>918</v>
      </c>
      <c r="C156" s="541" t="s">
        <v>657</v>
      </c>
      <c r="D156" s="295"/>
      <c r="E156" s="542">
        <v>1</v>
      </c>
      <c r="F156" s="543">
        <v>1</v>
      </c>
      <c r="G156" s="544">
        <v>1</v>
      </c>
      <c r="H156" s="542">
        <v>0.49928876244665715</v>
      </c>
      <c r="I156" s="543">
        <v>0.7222222222222221</v>
      </c>
      <c r="J156" s="544">
        <v>0.66666666666666663</v>
      </c>
      <c r="K156" s="583">
        <v>0.45019309463645135</v>
      </c>
    </row>
    <row r="157" spans="1:11" ht="67.5" customHeight="1" x14ac:dyDescent="0.5">
      <c r="A157" s="288" t="s">
        <v>551</v>
      </c>
      <c r="B157" s="540" t="s">
        <v>918</v>
      </c>
      <c r="C157" s="541" t="s">
        <v>552</v>
      </c>
      <c r="D157" s="295"/>
      <c r="E157" s="542">
        <v>0</v>
      </c>
      <c r="F157" s="543">
        <v>0</v>
      </c>
      <c r="G157" s="544">
        <v>0</v>
      </c>
      <c r="H157" s="542">
        <v>0</v>
      </c>
      <c r="I157" s="543">
        <v>0</v>
      </c>
      <c r="J157" s="544">
        <v>0</v>
      </c>
      <c r="K157" s="548">
        <v>0</v>
      </c>
    </row>
    <row r="158" spans="1:11" ht="67.5" customHeight="1" x14ac:dyDescent="0.5">
      <c r="A158" s="288" t="s">
        <v>728</v>
      </c>
      <c r="B158" s="540" t="s">
        <v>918</v>
      </c>
      <c r="C158" s="541" t="s">
        <v>729</v>
      </c>
      <c r="D158" s="295"/>
      <c r="E158" s="542">
        <v>0</v>
      </c>
      <c r="F158" s="543">
        <v>0</v>
      </c>
      <c r="G158" s="544">
        <v>0</v>
      </c>
      <c r="H158" s="542">
        <v>0</v>
      </c>
      <c r="I158" s="543">
        <v>0.44444444444444442</v>
      </c>
      <c r="J158" s="544">
        <v>0.91666666666666663</v>
      </c>
      <c r="K158" s="548">
        <v>0</v>
      </c>
    </row>
    <row r="159" spans="1:11" ht="67.5" customHeight="1" x14ac:dyDescent="0.5">
      <c r="A159" s="288" t="s">
        <v>646</v>
      </c>
      <c r="B159" s="540" t="s">
        <v>918</v>
      </c>
      <c r="C159" s="541" t="s">
        <v>647</v>
      </c>
      <c r="D159" s="295"/>
      <c r="E159" s="542">
        <v>0</v>
      </c>
      <c r="F159" s="543">
        <v>0</v>
      </c>
      <c r="G159" s="544">
        <v>0</v>
      </c>
      <c r="H159" s="542">
        <v>1.5789473684210468E-2</v>
      </c>
      <c r="I159" s="543">
        <v>0</v>
      </c>
      <c r="J159" s="544">
        <v>0.27272727272727276</v>
      </c>
      <c r="K159" s="548">
        <v>0</v>
      </c>
    </row>
    <row r="160" spans="1:11" ht="67.5" customHeight="1" x14ac:dyDescent="0.5">
      <c r="A160" s="288" t="s">
        <v>650</v>
      </c>
      <c r="B160" s="540" t="s">
        <v>918</v>
      </c>
      <c r="C160" s="541" t="s">
        <v>651</v>
      </c>
      <c r="D160" s="295"/>
      <c r="E160" s="542">
        <v>0</v>
      </c>
      <c r="F160" s="543">
        <v>0</v>
      </c>
      <c r="G160" s="544">
        <v>0.25</v>
      </c>
      <c r="H160" s="542">
        <v>0</v>
      </c>
      <c r="I160" s="543">
        <v>0</v>
      </c>
      <c r="J160" s="544">
        <v>0</v>
      </c>
      <c r="K160" s="548">
        <v>0</v>
      </c>
    </row>
    <row r="161" spans="1:11" ht="67.5" customHeight="1" x14ac:dyDescent="0.5">
      <c r="A161" s="288" t="s">
        <v>580</v>
      </c>
      <c r="B161" s="540" t="s">
        <v>918</v>
      </c>
      <c r="C161" s="541" t="s">
        <v>581</v>
      </c>
      <c r="D161" s="295"/>
      <c r="E161" s="542">
        <v>0.25</v>
      </c>
      <c r="F161" s="543">
        <v>0.5</v>
      </c>
      <c r="G161" s="544">
        <v>1</v>
      </c>
      <c r="H161" s="542">
        <v>7.3684210526315755E-2</v>
      </c>
      <c r="I161" s="543">
        <v>0.32432432432432423</v>
      </c>
      <c r="J161" s="544">
        <v>0.35353535353535354</v>
      </c>
      <c r="K161" s="548">
        <v>0.20168853955046573</v>
      </c>
    </row>
    <row r="162" spans="1:11" ht="67.5" customHeight="1" x14ac:dyDescent="0.5">
      <c r="A162" s="288" t="s">
        <v>684</v>
      </c>
      <c r="B162" s="540" t="s">
        <v>918</v>
      </c>
      <c r="C162" s="541" t="s">
        <v>685</v>
      </c>
      <c r="D162" s="295"/>
      <c r="E162" s="542">
        <v>0.5</v>
      </c>
      <c r="F162" s="543">
        <v>1</v>
      </c>
      <c r="G162" s="544">
        <v>1</v>
      </c>
      <c r="H162" s="542">
        <v>0.74964438122332877</v>
      </c>
      <c r="I162" s="543">
        <v>0.93055555555555558</v>
      </c>
      <c r="J162" s="544">
        <v>1</v>
      </c>
      <c r="K162" s="548">
        <v>0.26961689173797881</v>
      </c>
    </row>
    <row r="163" spans="1:11" ht="67.5" customHeight="1" x14ac:dyDescent="0.5">
      <c r="A163" s="288" t="s">
        <v>612</v>
      </c>
      <c r="B163" s="540" t="s">
        <v>918</v>
      </c>
      <c r="C163" s="541" t="s">
        <v>613</v>
      </c>
      <c r="D163" s="295"/>
      <c r="E163" s="542">
        <v>0</v>
      </c>
      <c r="F163" s="543">
        <v>0</v>
      </c>
      <c r="G163" s="544">
        <v>0</v>
      </c>
      <c r="H163" s="542">
        <v>1.5789473684210468E-2</v>
      </c>
      <c r="I163" s="543">
        <v>0.32432432432432423</v>
      </c>
      <c r="J163" s="544">
        <v>0.27272727272727276</v>
      </c>
      <c r="K163" s="548">
        <v>1</v>
      </c>
    </row>
    <row r="164" spans="1:11" ht="67.5" customHeight="1" x14ac:dyDescent="0.5">
      <c r="A164" s="288" t="s">
        <v>720</v>
      </c>
      <c r="B164" s="540" t="s">
        <v>918</v>
      </c>
      <c r="C164" s="541" t="s">
        <v>721</v>
      </c>
      <c r="D164" s="295"/>
      <c r="E164" s="542">
        <v>0</v>
      </c>
      <c r="F164" s="543">
        <v>0</v>
      </c>
      <c r="G164" s="544">
        <v>0</v>
      </c>
      <c r="H164" s="542">
        <v>0</v>
      </c>
      <c r="I164" s="543">
        <v>0</v>
      </c>
      <c r="J164" s="544">
        <v>8.3333333333333329E-2</v>
      </c>
      <c r="K164" s="548">
        <v>0</v>
      </c>
    </row>
    <row r="165" spans="1:11" ht="67.5" customHeight="1" x14ac:dyDescent="0.5">
      <c r="A165" s="288" t="s">
        <v>626</v>
      </c>
      <c r="B165" s="540" t="s">
        <v>918</v>
      </c>
      <c r="C165" s="541" t="s">
        <v>627</v>
      </c>
      <c r="D165" s="295"/>
      <c r="E165" s="542">
        <v>0.5</v>
      </c>
      <c r="F165" s="543">
        <v>0.75</v>
      </c>
      <c r="G165" s="544">
        <v>0.75</v>
      </c>
      <c r="H165" s="542">
        <v>0.36315789473684207</v>
      </c>
      <c r="I165" s="543">
        <v>0.45945945945945937</v>
      </c>
      <c r="J165" s="544">
        <v>0.35353535353535354</v>
      </c>
      <c r="K165" s="548">
        <v>0.78972425229032117</v>
      </c>
    </row>
    <row r="166" spans="1:11" ht="67.5" customHeight="1" x14ac:dyDescent="0.5">
      <c r="A166" s="288" t="s">
        <v>686</v>
      </c>
      <c r="B166" s="540" t="s">
        <v>918</v>
      </c>
      <c r="C166" s="541" t="s">
        <v>687</v>
      </c>
      <c r="D166" s="295"/>
      <c r="E166" s="542">
        <v>0</v>
      </c>
      <c r="F166" s="543">
        <v>0</v>
      </c>
      <c r="G166" s="544">
        <v>0</v>
      </c>
      <c r="H166" s="542">
        <v>0</v>
      </c>
      <c r="I166" s="543">
        <v>0</v>
      </c>
      <c r="J166" s="544">
        <v>0.40740740740740744</v>
      </c>
      <c r="K166" s="548">
        <v>0</v>
      </c>
    </row>
    <row r="167" spans="1:11" ht="67.5" customHeight="1" x14ac:dyDescent="0.5">
      <c r="A167" s="288" t="s">
        <v>347</v>
      </c>
      <c r="B167" s="540" t="s">
        <v>918</v>
      </c>
      <c r="C167" s="541" t="s">
        <v>348</v>
      </c>
      <c r="D167" s="295"/>
      <c r="E167" s="542">
        <v>0</v>
      </c>
      <c r="F167" s="543">
        <v>0</v>
      </c>
      <c r="G167" s="544">
        <v>0</v>
      </c>
      <c r="H167" s="542">
        <v>0</v>
      </c>
      <c r="I167" s="543">
        <v>0</v>
      </c>
      <c r="J167" s="544">
        <v>0</v>
      </c>
      <c r="K167" s="548">
        <v>0</v>
      </c>
    </row>
    <row r="168" spans="1:11" ht="67.5" customHeight="1" x14ac:dyDescent="0.5">
      <c r="A168" s="292" t="s">
        <v>654</v>
      </c>
      <c r="B168" s="540" t="s">
        <v>918</v>
      </c>
      <c r="C168" s="541" t="s">
        <v>655</v>
      </c>
      <c r="D168" s="295"/>
      <c r="E168" s="542">
        <v>0.5</v>
      </c>
      <c r="F168" s="543">
        <v>1</v>
      </c>
      <c r="G168" s="544">
        <v>1</v>
      </c>
      <c r="H168" s="542">
        <v>0.768421052631579</v>
      </c>
      <c r="I168" s="543">
        <v>0.93243243243243235</v>
      </c>
      <c r="J168" s="544">
        <v>1</v>
      </c>
      <c r="K168" s="548">
        <v>0.79790803006244571</v>
      </c>
    </row>
    <row r="169" spans="1:11" ht="67.5" customHeight="1" x14ac:dyDescent="0.5">
      <c r="A169" s="288" t="s">
        <v>724</v>
      </c>
      <c r="B169" s="540" t="s">
        <v>918</v>
      </c>
      <c r="C169" s="541" t="s">
        <v>725</v>
      </c>
      <c r="D169" s="295"/>
      <c r="E169" s="542">
        <v>0</v>
      </c>
      <c r="F169" s="543">
        <v>0</v>
      </c>
      <c r="G169" s="544">
        <v>0</v>
      </c>
      <c r="H169" s="542">
        <v>6.1166429587482189E-2</v>
      </c>
      <c r="I169" s="543">
        <v>9.7222222222222293E-2</v>
      </c>
      <c r="J169" s="544">
        <v>0.16666666666666666</v>
      </c>
      <c r="K169" s="548">
        <v>0</v>
      </c>
    </row>
    <row r="170" spans="1:11" ht="67.5" customHeight="1" x14ac:dyDescent="0.5">
      <c r="A170" s="288" t="s">
        <v>602</v>
      </c>
      <c r="B170" s="540" t="s">
        <v>918</v>
      </c>
      <c r="C170" s="541" t="s">
        <v>603</v>
      </c>
      <c r="D170" s="295"/>
      <c r="E170" s="542">
        <v>0</v>
      </c>
      <c r="F170" s="543">
        <v>0</v>
      </c>
      <c r="G170" s="544">
        <v>0</v>
      </c>
      <c r="H170" s="542">
        <v>0</v>
      </c>
      <c r="I170" s="543">
        <v>5.4054054054054022E-2</v>
      </c>
      <c r="J170" s="544">
        <v>0</v>
      </c>
      <c r="K170" s="548">
        <v>0</v>
      </c>
    </row>
    <row r="171" spans="1:11" ht="67.5" customHeight="1" x14ac:dyDescent="0.5">
      <c r="A171" s="288" t="s">
        <v>680</v>
      </c>
      <c r="B171" s="540" t="s">
        <v>918</v>
      </c>
      <c r="C171" s="541" t="s">
        <v>681</v>
      </c>
      <c r="D171" s="295"/>
      <c r="E171" s="542">
        <v>0</v>
      </c>
      <c r="F171" s="543">
        <v>0</v>
      </c>
      <c r="G171" s="544">
        <v>0</v>
      </c>
      <c r="H171" s="542">
        <v>0</v>
      </c>
      <c r="I171" s="543">
        <v>0.23611111111111102</v>
      </c>
      <c r="J171" s="544">
        <v>0.5</v>
      </c>
      <c r="K171" s="548">
        <v>0.18399458517682682</v>
      </c>
    </row>
    <row r="172" spans="1:11" ht="67.5" customHeight="1" x14ac:dyDescent="0.5">
      <c r="A172" s="288" t="s">
        <v>162</v>
      </c>
      <c r="B172" s="540" t="s">
        <v>918</v>
      </c>
      <c r="C172" s="541" t="s">
        <v>163</v>
      </c>
      <c r="D172" s="295"/>
      <c r="E172" s="542">
        <v>0</v>
      </c>
      <c r="F172" s="543">
        <v>0</v>
      </c>
      <c r="G172" s="544">
        <v>0</v>
      </c>
      <c r="H172" s="542">
        <v>0.10526315789473689</v>
      </c>
      <c r="I172" s="543">
        <v>0.49999999999999994</v>
      </c>
      <c r="J172" s="544">
        <v>0.27272727272727382</v>
      </c>
      <c r="K172" s="548">
        <v>2.3553186343723116E-2</v>
      </c>
    </row>
    <row r="173" spans="1:11" ht="67.5" customHeight="1" x14ac:dyDescent="0.5">
      <c r="A173" s="288" t="s">
        <v>851</v>
      </c>
      <c r="B173" s="540" t="s">
        <v>918</v>
      </c>
      <c r="C173" s="541" t="s">
        <v>852</v>
      </c>
      <c r="D173" s="295"/>
      <c r="E173" s="542">
        <v>0</v>
      </c>
      <c r="F173" s="543">
        <v>0</v>
      </c>
      <c r="G173" s="544">
        <v>0</v>
      </c>
      <c r="H173" s="542">
        <v>0</v>
      </c>
      <c r="I173" s="543">
        <v>2.7777777777777679E-2</v>
      </c>
      <c r="J173" s="544">
        <v>0.16666666666666666</v>
      </c>
      <c r="K173" s="548">
        <v>0</v>
      </c>
    </row>
    <row r="174" spans="1:11" ht="67.5" customHeight="1" x14ac:dyDescent="0.5">
      <c r="A174" s="288" t="s">
        <v>594</v>
      </c>
      <c r="B174" s="540" t="s">
        <v>918</v>
      </c>
      <c r="C174" s="541" t="s">
        <v>595</v>
      </c>
      <c r="D174" s="295"/>
      <c r="E174" s="542">
        <v>0</v>
      </c>
      <c r="F174" s="543">
        <v>0</v>
      </c>
      <c r="G174" s="544">
        <v>0</v>
      </c>
      <c r="H174" s="542">
        <v>0</v>
      </c>
      <c r="I174" s="543">
        <v>0</v>
      </c>
      <c r="J174" s="544">
        <v>0</v>
      </c>
      <c r="K174" s="548">
        <v>0</v>
      </c>
    </row>
    <row r="175" spans="1:11" ht="67.5" customHeight="1" x14ac:dyDescent="0.5">
      <c r="A175" s="288" t="s">
        <v>576</v>
      </c>
      <c r="B175" s="540" t="s">
        <v>918</v>
      </c>
      <c r="C175" s="541" t="s">
        <v>577</v>
      </c>
      <c r="D175" s="295"/>
      <c r="E175" s="542">
        <v>0</v>
      </c>
      <c r="F175" s="543">
        <v>0</v>
      </c>
      <c r="G175" s="544">
        <v>0</v>
      </c>
      <c r="H175" s="542">
        <v>0</v>
      </c>
      <c r="I175" s="543">
        <v>0</v>
      </c>
      <c r="J175" s="544">
        <v>0</v>
      </c>
      <c r="K175" s="548">
        <v>0</v>
      </c>
    </row>
    <row r="176" spans="1:11" ht="67.5" customHeight="1" x14ac:dyDescent="0.5">
      <c r="A176" s="288" t="s">
        <v>620</v>
      </c>
      <c r="B176" s="540" t="s">
        <v>918</v>
      </c>
      <c r="C176" s="541" t="s">
        <v>621</v>
      </c>
      <c r="D176" s="295"/>
      <c r="E176" s="542">
        <v>0</v>
      </c>
      <c r="F176" s="543">
        <v>0.5</v>
      </c>
      <c r="G176" s="544">
        <v>0</v>
      </c>
      <c r="H176" s="542">
        <v>7.3684210526315755E-2</v>
      </c>
      <c r="I176" s="543">
        <v>0.39189189189189183</v>
      </c>
      <c r="J176" s="544">
        <v>0.43434343434343442</v>
      </c>
      <c r="K176" s="548">
        <v>3.2935339409083199E-2</v>
      </c>
    </row>
    <row r="177" spans="1:11" ht="67.5" customHeight="1" x14ac:dyDescent="0.5">
      <c r="A177" s="288" t="s">
        <v>640</v>
      </c>
      <c r="B177" s="540" t="s">
        <v>918</v>
      </c>
      <c r="C177" s="541" t="s">
        <v>641</v>
      </c>
      <c r="D177" s="295"/>
      <c r="E177" s="542">
        <v>0</v>
      </c>
      <c r="F177" s="543">
        <v>0</v>
      </c>
      <c r="G177" s="544">
        <v>0</v>
      </c>
      <c r="H177" s="542">
        <v>0</v>
      </c>
      <c r="I177" s="543">
        <v>0</v>
      </c>
      <c r="J177" s="544">
        <v>3.0303030303030203E-2</v>
      </c>
      <c r="K177" s="548">
        <v>7.6287496940667318E-3</v>
      </c>
    </row>
    <row r="178" spans="1:11" ht="67.5" customHeight="1" x14ac:dyDescent="0.5">
      <c r="A178" s="288" t="s">
        <v>803</v>
      </c>
      <c r="B178" s="540" t="s">
        <v>918</v>
      </c>
      <c r="C178" s="541" t="s">
        <v>804</v>
      </c>
      <c r="D178" s="295"/>
      <c r="E178" s="542">
        <v>0</v>
      </c>
      <c r="F178" s="543">
        <v>0.25</v>
      </c>
      <c r="G178" s="544">
        <v>1</v>
      </c>
      <c r="H178" s="542">
        <v>7.3684210526315755E-2</v>
      </c>
      <c r="I178" s="543">
        <v>0.44444444444444442</v>
      </c>
      <c r="J178" s="544">
        <v>0.41666666666666669</v>
      </c>
      <c r="K178" s="548">
        <v>0</v>
      </c>
    </row>
    <row r="179" spans="1:11" ht="67.5" customHeight="1" x14ac:dyDescent="0.5">
      <c r="A179" s="288" t="s">
        <v>823</v>
      </c>
      <c r="B179" s="540" t="s">
        <v>918</v>
      </c>
      <c r="C179" s="541" t="s">
        <v>824</v>
      </c>
      <c r="D179" s="295"/>
      <c r="E179" s="542">
        <v>0</v>
      </c>
      <c r="F179" s="543">
        <v>0</v>
      </c>
      <c r="G179" s="544">
        <v>0</v>
      </c>
      <c r="H179" s="542">
        <v>1.5789473684210468E-2</v>
      </c>
      <c r="I179" s="543">
        <v>0</v>
      </c>
      <c r="J179" s="544">
        <v>8.3333333333333329E-2</v>
      </c>
      <c r="K179" s="548">
        <v>0</v>
      </c>
    </row>
    <row r="180" spans="1:11" ht="67.5" customHeight="1" x14ac:dyDescent="0.5">
      <c r="A180" s="288" t="s">
        <v>586</v>
      </c>
      <c r="B180" s="540" t="s">
        <v>918</v>
      </c>
      <c r="C180" s="541" t="s">
        <v>587</v>
      </c>
      <c r="D180" s="295"/>
      <c r="E180" s="542">
        <v>0</v>
      </c>
      <c r="F180" s="543">
        <v>0</v>
      </c>
      <c r="G180" s="544">
        <v>0</v>
      </c>
      <c r="H180" s="542">
        <v>0</v>
      </c>
      <c r="I180" s="543">
        <v>0.39189189189189183</v>
      </c>
      <c r="J180" s="544">
        <v>0.19191919191919191</v>
      </c>
      <c r="K180" s="548">
        <v>0.70700717555749515</v>
      </c>
    </row>
    <row r="181" spans="1:11" ht="67.5" customHeight="1" x14ac:dyDescent="0.5">
      <c r="A181" s="288" t="s">
        <v>584</v>
      </c>
      <c r="B181" s="540" t="s">
        <v>918</v>
      </c>
      <c r="C181" s="541" t="s">
        <v>585</v>
      </c>
      <c r="D181" s="295"/>
      <c r="E181" s="542">
        <v>0</v>
      </c>
      <c r="F181" s="543">
        <v>0</v>
      </c>
      <c r="G181" s="544">
        <v>0</v>
      </c>
      <c r="H181" s="542">
        <v>1.5789473684210468E-2</v>
      </c>
      <c r="I181" s="543">
        <v>0</v>
      </c>
      <c r="J181" s="544">
        <v>0</v>
      </c>
      <c r="K181" s="548">
        <v>0</v>
      </c>
    </row>
    <row r="182" spans="1:11" ht="67.5" customHeight="1" x14ac:dyDescent="0.5">
      <c r="A182" s="288" t="s">
        <v>668</v>
      </c>
      <c r="B182" s="540" t="s">
        <v>918</v>
      </c>
      <c r="C182" s="541" t="s">
        <v>669</v>
      </c>
      <c r="D182" s="295"/>
      <c r="E182" s="542">
        <v>0</v>
      </c>
      <c r="F182" s="543">
        <v>0</v>
      </c>
      <c r="G182" s="544">
        <v>0</v>
      </c>
      <c r="H182" s="542">
        <v>0.18634423897581784</v>
      </c>
      <c r="I182" s="543">
        <v>0.23611111111111102</v>
      </c>
      <c r="J182" s="544">
        <v>0.25</v>
      </c>
      <c r="K182" s="548">
        <v>0</v>
      </c>
    </row>
    <row r="183" spans="1:11" ht="67.5" customHeight="1" x14ac:dyDescent="0.5">
      <c r="A183" s="288" t="s">
        <v>531</v>
      </c>
      <c r="B183" s="540" t="s">
        <v>918</v>
      </c>
      <c r="C183" s="541" t="s">
        <v>532</v>
      </c>
      <c r="D183" s="295"/>
      <c r="E183" s="542">
        <v>0.5</v>
      </c>
      <c r="F183" s="543">
        <v>0.25</v>
      </c>
      <c r="G183" s="544">
        <v>1</v>
      </c>
      <c r="H183" s="542">
        <v>0</v>
      </c>
      <c r="I183" s="543">
        <v>9.7222222222222293E-2</v>
      </c>
      <c r="J183" s="544">
        <v>0</v>
      </c>
      <c r="K183" s="548">
        <v>0.31531591396848224</v>
      </c>
    </row>
    <row r="184" spans="1:11" ht="67.5" customHeight="1" x14ac:dyDescent="0.5">
      <c r="A184" s="288" t="s">
        <v>72</v>
      </c>
      <c r="B184" s="540" t="s">
        <v>918</v>
      </c>
      <c r="C184" s="541" t="s">
        <v>73</v>
      </c>
      <c r="D184" s="295"/>
      <c r="E184" s="542">
        <v>0</v>
      </c>
      <c r="F184" s="543">
        <v>0</v>
      </c>
      <c r="G184" s="544">
        <v>0</v>
      </c>
      <c r="H184" s="542">
        <v>5.2631578947368286E-2</v>
      </c>
      <c r="I184" s="543">
        <v>0.12499999999999997</v>
      </c>
      <c r="J184" s="544">
        <v>0</v>
      </c>
      <c r="K184" s="548">
        <v>2.1316564287938888E-2</v>
      </c>
    </row>
    <row r="185" spans="1:11" ht="67.5" customHeight="1" x14ac:dyDescent="0.5">
      <c r="A185" s="288" t="s">
        <v>871</v>
      </c>
      <c r="B185" s="540" t="s">
        <v>918</v>
      </c>
      <c r="C185" s="541" t="s">
        <v>872</v>
      </c>
      <c r="D185" s="295"/>
      <c r="E185" s="542">
        <v>0</v>
      </c>
      <c r="F185" s="543">
        <v>0</v>
      </c>
      <c r="G185" s="544">
        <v>0</v>
      </c>
      <c r="H185" s="542">
        <v>0</v>
      </c>
      <c r="I185" s="543">
        <v>0</v>
      </c>
      <c r="J185" s="544">
        <v>0</v>
      </c>
      <c r="K185" s="548">
        <v>3.5181211675704462E-2</v>
      </c>
    </row>
    <row r="186" spans="1:11" ht="67.5" customHeight="1" x14ac:dyDescent="0.5">
      <c r="A186" s="288" t="s">
        <v>660</v>
      </c>
      <c r="B186" s="540" t="s">
        <v>918</v>
      </c>
      <c r="C186" s="541" t="s">
        <v>661</v>
      </c>
      <c r="D186" s="295"/>
      <c r="E186" s="542">
        <v>0.25</v>
      </c>
      <c r="F186" s="543">
        <v>0</v>
      </c>
      <c r="G186" s="544">
        <v>0</v>
      </c>
      <c r="H186" s="542">
        <v>0.2489331436699857</v>
      </c>
      <c r="I186" s="543">
        <v>0.23611111111111102</v>
      </c>
      <c r="J186" s="544">
        <v>0.58333333333333337</v>
      </c>
      <c r="K186" s="548">
        <v>0</v>
      </c>
    </row>
    <row r="187" spans="1:11" ht="67.5" customHeight="1" x14ac:dyDescent="0.5">
      <c r="A187" s="288" t="s">
        <v>371</v>
      </c>
      <c r="B187" s="540" t="s">
        <v>918</v>
      </c>
      <c r="C187" s="541" t="s">
        <v>372</v>
      </c>
      <c r="D187" s="295"/>
      <c r="E187" s="542">
        <v>0</v>
      </c>
      <c r="F187" s="543">
        <v>0</v>
      </c>
      <c r="G187" s="544">
        <v>0</v>
      </c>
      <c r="H187" s="542">
        <v>0</v>
      </c>
      <c r="I187" s="543">
        <v>0</v>
      </c>
      <c r="J187" s="544">
        <v>0</v>
      </c>
      <c r="K187" s="548">
        <v>0</v>
      </c>
    </row>
    <row r="188" spans="1:11" ht="67.5" customHeight="1" x14ac:dyDescent="0.5">
      <c r="A188" s="288" t="s">
        <v>658</v>
      </c>
      <c r="B188" s="540" t="s">
        <v>918</v>
      </c>
      <c r="C188" s="541" t="s">
        <v>659</v>
      </c>
      <c r="D188" s="295"/>
      <c r="E188" s="542">
        <v>0</v>
      </c>
      <c r="F188" s="543">
        <v>0</v>
      </c>
      <c r="G188" s="544">
        <v>0</v>
      </c>
      <c r="H188" s="542">
        <v>0</v>
      </c>
      <c r="I188" s="543">
        <v>0</v>
      </c>
      <c r="J188" s="544">
        <v>0</v>
      </c>
      <c r="K188" s="548">
        <v>0</v>
      </c>
    </row>
    <row r="189" spans="1:11" ht="67.5" customHeight="1" x14ac:dyDescent="0.5">
      <c r="A189" s="288" t="s">
        <v>682</v>
      </c>
      <c r="B189" s="540" t="s">
        <v>918</v>
      </c>
      <c r="C189" s="541" t="s">
        <v>683</v>
      </c>
      <c r="D189" s="295"/>
      <c r="E189" s="542">
        <v>0.5</v>
      </c>
      <c r="F189" s="543">
        <v>0.5</v>
      </c>
      <c r="G189" s="544">
        <v>1</v>
      </c>
      <c r="H189" s="542">
        <v>0</v>
      </c>
      <c r="I189" s="543">
        <v>0.16666666666666677</v>
      </c>
      <c r="J189" s="544">
        <v>0.33333333333333331</v>
      </c>
      <c r="K189" s="548">
        <v>0</v>
      </c>
    </row>
    <row r="190" spans="1:11" ht="67.5" customHeight="1" x14ac:dyDescent="0.5">
      <c r="A190" s="288" t="s">
        <v>567</v>
      </c>
      <c r="B190" s="540" t="s">
        <v>918</v>
      </c>
      <c r="C190" s="541" t="s">
        <v>568</v>
      </c>
      <c r="D190" s="295"/>
      <c r="E190" s="542">
        <v>0</v>
      </c>
      <c r="F190" s="543">
        <v>0</v>
      </c>
      <c r="G190" s="544">
        <v>0</v>
      </c>
      <c r="H190" s="542">
        <v>0</v>
      </c>
      <c r="I190" s="543">
        <v>0</v>
      </c>
      <c r="J190" s="544">
        <v>0</v>
      </c>
      <c r="K190" s="548">
        <v>0</v>
      </c>
    </row>
    <row r="191" spans="1:11" ht="67.5" customHeight="1" x14ac:dyDescent="0.5">
      <c r="A191" s="288" t="s">
        <v>105</v>
      </c>
      <c r="B191" s="540" t="s">
        <v>918</v>
      </c>
      <c r="C191" s="541" t="s">
        <v>106</v>
      </c>
      <c r="D191" s="295"/>
      <c r="E191" s="542">
        <v>0</v>
      </c>
      <c r="F191" s="543">
        <v>0</v>
      </c>
      <c r="G191" s="544">
        <v>0</v>
      </c>
      <c r="H191" s="542">
        <v>5.2631578947368286E-2</v>
      </c>
      <c r="I191" s="543">
        <v>0.12499999999999997</v>
      </c>
      <c r="J191" s="544">
        <v>0</v>
      </c>
      <c r="K191" s="548">
        <v>0.16509162154011175</v>
      </c>
    </row>
    <row r="192" spans="1:11" ht="67.5" customHeight="1" x14ac:dyDescent="0.5">
      <c r="A192" s="288" t="s">
        <v>513</v>
      </c>
      <c r="B192" s="540" t="s">
        <v>918</v>
      </c>
      <c r="C192" s="541" t="s">
        <v>514</v>
      </c>
      <c r="D192" s="295"/>
      <c r="E192" s="542">
        <v>0</v>
      </c>
      <c r="F192" s="543">
        <v>0</v>
      </c>
      <c r="G192" s="544">
        <v>0</v>
      </c>
      <c r="H192" s="542">
        <v>0</v>
      </c>
      <c r="I192" s="543">
        <v>0</v>
      </c>
      <c r="J192" s="544">
        <v>0</v>
      </c>
      <c r="K192" s="548">
        <v>0</v>
      </c>
    </row>
    <row r="193" spans="1:11" ht="67.5" customHeight="1" x14ac:dyDescent="0.5">
      <c r="A193" s="288" t="s">
        <v>493</v>
      </c>
      <c r="B193" s="540" t="s">
        <v>918</v>
      </c>
      <c r="C193" s="541" t="s">
        <v>494</v>
      </c>
      <c r="D193" s="295"/>
      <c r="E193" s="542">
        <v>0.25</v>
      </c>
      <c r="F193" s="543">
        <v>0</v>
      </c>
      <c r="G193" s="544">
        <v>0</v>
      </c>
      <c r="H193" s="542">
        <v>7.3684210526315755E-2</v>
      </c>
      <c r="I193" s="543">
        <v>9.7222222222222293E-2</v>
      </c>
      <c r="J193" s="544">
        <v>8.3333333333333329E-2</v>
      </c>
      <c r="K193" s="548">
        <v>0.77921506780376171</v>
      </c>
    </row>
    <row r="194" spans="1:11" ht="67.5" customHeight="1" x14ac:dyDescent="0.5">
      <c r="A194" s="288" t="s">
        <v>569</v>
      </c>
      <c r="B194" s="540" t="s">
        <v>918</v>
      </c>
      <c r="C194" s="541" t="s">
        <v>570</v>
      </c>
      <c r="D194" s="295"/>
      <c r="E194" s="542">
        <v>0</v>
      </c>
      <c r="F194" s="543">
        <v>0</v>
      </c>
      <c r="G194" s="544">
        <v>0</v>
      </c>
      <c r="H194" s="542">
        <v>0</v>
      </c>
      <c r="I194" s="543">
        <v>0</v>
      </c>
      <c r="J194" s="544">
        <v>0</v>
      </c>
      <c r="K194" s="548">
        <v>7.0068371955388328E-2</v>
      </c>
    </row>
    <row r="195" spans="1:11" ht="67.5" customHeight="1" x14ac:dyDescent="0.5">
      <c r="A195" s="288" t="s">
        <v>547</v>
      </c>
      <c r="B195" s="540" t="s">
        <v>918</v>
      </c>
      <c r="C195" s="541" t="s">
        <v>548</v>
      </c>
      <c r="D195" s="295"/>
      <c r="E195" s="542">
        <v>0</v>
      </c>
      <c r="F195" s="543">
        <v>0.25</v>
      </c>
      <c r="G195" s="544">
        <v>0</v>
      </c>
      <c r="H195" s="542">
        <v>0</v>
      </c>
      <c r="I195" s="543">
        <v>2.7777777777777679E-2</v>
      </c>
      <c r="J195" s="544">
        <v>0.18518518518518512</v>
      </c>
      <c r="K195" s="548">
        <v>4.7032490260034622E-2</v>
      </c>
    </row>
    <row r="196" spans="1:11" ht="67.5" customHeight="1" x14ac:dyDescent="0.5">
      <c r="A196" s="288" t="s">
        <v>863</v>
      </c>
      <c r="B196" s="540" t="s">
        <v>918</v>
      </c>
      <c r="C196" s="541" t="s">
        <v>864</v>
      </c>
      <c r="D196" s="295"/>
      <c r="E196" s="542">
        <v>0</v>
      </c>
      <c r="F196" s="543">
        <v>0</v>
      </c>
      <c r="G196" s="544">
        <v>0</v>
      </c>
      <c r="H196" s="542">
        <v>0</v>
      </c>
      <c r="I196" s="543">
        <v>0</v>
      </c>
      <c r="J196" s="544">
        <v>0</v>
      </c>
      <c r="K196" s="548">
        <v>0</v>
      </c>
    </row>
    <row r="197" spans="1:11" ht="67.5" customHeight="1" x14ac:dyDescent="0.5">
      <c r="A197" s="288" t="s">
        <v>749</v>
      </c>
      <c r="B197" s="540" t="s">
        <v>918</v>
      </c>
      <c r="C197" s="541" t="s">
        <v>750</v>
      </c>
      <c r="D197" s="295"/>
      <c r="E197" s="542">
        <v>0</v>
      </c>
      <c r="F197" s="543">
        <v>0.5</v>
      </c>
      <c r="G197" s="544">
        <v>1</v>
      </c>
      <c r="H197" s="542">
        <v>0</v>
      </c>
      <c r="I197" s="543">
        <v>0</v>
      </c>
      <c r="J197" s="544">
        <v>0</v>
      </c>
      <c r="K197" s="548">
        <v>0.21522274359709012</v>
      </c>
    </row>
    <row r="198" spans="1:11" ht="67.5" customHeight="1" x14ac:dyDescent="0.5">
      <c r="A198" s="288" t="s">
        <v>831</v>
      </c>
      <c r="B198" s="540" t="s">
        <v>918</v>
      </c>
      <c r="C198" s="541" t="s">
        <v>832</v>
      </c>
      <c r="D198" s="295"/>
      <c r="E198" s="542">
        <v>0</v>
      </c>
      <c r="F198" s="543">
        <v>0</v>
      </c>
      <c r="G198" s="544">
        <v>0</v>
      </c>
      <c r="H198" s="542">
        <v>1.5789473684210468E-2</v>
      </c>
      <c r="I198" s="543">
        <v>0</v>
      </c>
      <c r="J198" s="544">
        <v>8.3333333333333329E-2</v>
      </c>
      <c r="K198" s="548">
        <v>0</v>
      </c>
    </row>
    <row r="199" spans="1:11" ht="67.5" customHeight="1" x14ac:dyDescent="0.5">
      <c r="A199" s="288" t="s">
        <v>351</v>
      </c>
      <c r="B199" s="540" t="s">
        <v>918</v>
      </c>
      <c r="C199" s="541" t="s">
        <v>352</v>
      </c>
      <c r="D199" s="295"/>
      <c r="E199" s="542">
        <v>0.25</v>
      </c>
      <c r="F199" s="543">
        <v>0</v>
      </c>
      <c r="G199" s="544">
        <v>0.25</v>
      </c>
      <c r="H199" s="542">
        <v>1.5789473684210468E-2</v>
      </c>
      <c r="I199" s="543">
        <v>5.4054054054054022E-2</v>
      </c>
      <c r="J199" s="544">
        <v>0.18518518518518512</v>
      </c>
      <c r="K199" s="548">
        <v>0.27517160706047078</v>
      </c>
    </row>
    <row r="200" spans="1:11" ht="67.5" customHeight="1" x14ac:dyDescent="0.5">
      <c r="A200" s="288" t="s">
        <v>821</v>
      </c>
      <c r="B200" s="540" t="s">
        <v>918</v>
      </c>
      <c r="C200" s="541" t="s">
        <v>822</v>
      </c>
      <c r="D200" s="295"/>
      <c r="E200" s="542">
        <v>0</v>
      </c>
      <c r="F200" s="543">
        <v>0</v>
      </c>
      <c r="G200" s="544">
        <v>0</v>
      </c>
      <c r="H200" s="542">
        <v>1.5789473684210468E-2</v>
      </c>
      <c r="I200" s="543">
        <v>2.7777777777777679E-2</v>
      </c>
      <c r="J200" s="544">
        <v>0.25</v>
      </c>
      <c r="K200" s="548">
        <v>0</v>
      </c>
    </row>
    <row r="201" spans="1:11" ht="67.5" customHeight="1" x14ac:dyDescent="0.5">
      <c r="A201" s="288" t="s">
        <v>704</v>
      </c>
      <c r="B201" s="540" t="s">
        <v>918</v>
      </c>
      <c r="C201" s="541" t="s">
        <v>705</v>
      </c>
      <c r="D201" s="295"/>
      <c r="E201" s="542">
        <v>0.25</v>
      </c>
      <c r="F201" s="543">
        <v>0.25</v>
      </c>
      <c r="G201" s="544">
        <v>1</v>
      </c>
      <c r="H201" s="542">
        <v>0.31152204836415365</v>
      </c>
      <c r="I201" s="543">
        <v>0.58333333333333337</v>
      </c>
      <c r="J201" s="544">
        <v>0.83333333333333337</v>
      </c>
      <c r="K201" s="548">
        <v>0.12413700413638831</v>
      </c>
    </row>
    <row r="202" spans="1:11" ht="67.5" customHeight="1" x14ac:dyDescent="0.5">
      <c r="A202" s="288" t="s">
        <v>801</v>
      </c>
      <c r="B202" s="540" t="s">
        <v>918</v>
      </c>
      <c r="C202" s="541" t="s">
        <v>802</v>
      </c>
      <c r="D202" s="295"/>
      <c r="E202" s="542">
        <v>0.5</v>
      </c>
      <c r="F202" s="543">
        <v>1</v>
      </c>
      <c r="G202" s="544">
        <v>1</v>
      </c>
      <c r="H202" s="542">
        <v>0.18947368421052627</v>
      </c>
      <c r="I202" s="543">
        <v>0.23611111111111102</v>
      </c>
      <c r="J202" s="544">
        <v>0.41666666666666669</v>
      </c>
      <c r="K202" s="548">
        <v>2.3376615058244218E-2</v>
      </c>
    </row>
    <row r="203" spans="1:11" ht="67.5" customHeight="1" x14ac:dyDescent="0.5">
      <c r="A203" s="288" t="s">
        <v>664</v>
      </c>
      <c r="B203" s="540" t="s">
        <v>918</v>
      </c>
      <c r="C203" s="541" t="s">
        <v>665</v>
      </c>
      <c r="D203" s="295"/>
      <c r="E203" s="542">
        <v>0</v>
      </c>
      <c r="F203" s="543">
        <v>0</v>
      </c>
      <c r="G203" s="544">
        <v>0</v>
      </c>
      <c r="H203" s="542">
        <v>0</v>
      </c>
      <c r="I203" s="543">
        <v>0</v>
      </c>
      <c r="J203" s="544">
        <v>0</v>
      </c>
      <c r="K203" s="548">
        <v>0</v>
      </c>
    </row>
    <row r="204" spans="1:11" ht="67.5" customHeight="1" x14ac:dyDescent="0.5">
      <c r="A204" s="288" t="s">
        <v>636</v>
      </c>
      <c r="B204" s="540" t="s">
        <v>918</v>
      </c>
      <c r="C204" s="541" t="s">
        <v>637</v>
      </c>
      <c r="D204" s="295"/>
      <c r="E204" s="542">
        <v>0</v>
      </c>
      <c r="F204" s="543">
        <v>0</v>
      </c>
      <c r="G204" s="544">
        <v>0</v>
      </c>
      <c r="H204" s="542">
        <v>0</v>
      </c>
      <c r="I204" s="543">
        <v>0</v>
      </c>
      <c r="J204" s="544">
        <v>0</v>
      </c>
      <c r="K204" s="548">
        <v>0</v>
      </c>
    </row>
    <row r="205" spans="1:11" ht="67.5" customHeight="1" x14ac:dyDescent="0.5">
      <c r="A205" s="288" t="s">
        <v>843</v>
      </c>
      <c r="B205" s="540" t="s">
        <v>918</v>
      </c>
      <c r="C205" s="541" t="s">
        <v>844</v>
      </c>
      <c r="D205" s="295"/>
      <c r="E205" s="542">
        <v>0</v>
      </c>
      <c r="F205" s="543">
        <v>0</v>
      </c>
      <c r="G205" s="544">
        <v>0</v>
      </c>
      <c r="H205" s="542">
        <v>7.3684210526315755E-2</v>
      </c>
      <c r="I205" s="543">
        <v>0.30555555555555547</v>
      </c>
      <c r="J205" s="544">
        <v>0.33333333333333331</v>
      </c>
      <c r="K205" s="548">
        <v>1.2653835599322549E-2</v>
      </c>
    </row>
    <row r="206" spans="1:11" ht="67.5" customHeight="1" x14ac:dyDescent="0.5">
      <c r="A206" s="288" t="s">
        <v>135</v>
      </c>
      <c r="B206" s="540" t="s">
        <v>918</v>
      </c>
      <c r="C206" s="541" t="s">
        <v>136</v>
      </c>
      <c r="D206" s="295"/>
      <c r="E206" s="542">
        <v>0.25</v>
      </c>
      <c r="F206" s="543">
        <v>0.25</v>
      </c>
      <c r="G206" s="544">
        <v>0</v>
      </c>
      <c r="H206" s="542">
        <v>0</v>
      </c>
      <c r="I206" s="543">
        <v>0.31249999999999989</v>
      </c>
      <c r="J206" s="544">
        <v>0.3454545454545464</v>
      </c>
      <c r="K206" s="548">
        <v>9.0916225475627915E-2</v>
      </c>
    </row>
    <row r="207" spans="1:11" ht="67.5" customHeight="1" x14ac:dyDescent="0.5">
      <c r="A207" s="288" t="s">
        <v>827</v>
      </c>
      <c r="B207" s="540" t="s">
        <v>918</v>
      </c>
      <c r="C207" s="541" t="s">
        <v>828</v>
      </c>
      <c r="D207" s="295"/>
      <c r="E207" s="542">
        <v>0</v>
      </c>
      <c r="F207" s="543">
        <v>0</v>
      </c>
      <c r="G207" s="544">
        <v>0</v>
      </c>
      <c r="H207" s="542">
        <v>0</v>
      </c>
      <c r="I207" s="543">
        <v>0</v>
      </c>
      <c r="J207" s="544">
        <v>0</v>
      </c>
      <c r="K207" s="548">
        <v>0</v>
      </c>
    </row>
    <row r="208" spans="1:11" ht="67.5" customHeight="1" x14ac:dyDescent="0.5">
      <c r="A208" s="288" t="s">
        <v>410</v>
      </c>
      <c r="B208" s="540" t="s">
        <v>918</v>
      </c>
      <c r="C208" s="541" t="s">
        <v>411</v>
      </c>
      <c r="D208" s="295"/>
      <c r="E208" s="542">
        <v>0</v>
      </c>
      <c r="F208" s="543">
        <v>0</v>
      </c>
      <c r="G208" s="544">
        <v>0</v>
      </c>
      <c r="H208" s="542">
        <v>0.10526315789473689</v>
      </c>
      <c r="I208" s="543">
        <v>0</v>
      </c>
      <c r="J208" s="544">
        <v>0</v>
      </c>
      <c r="K208" s="548">
        <v>0</v>
      </c>
    </row>
    <row r="209" spans="1:11" ht="67.5" customHeight="1" x14ac:dyDescent="0.5">
      <c r="A209" s="288" t="s">
        <v>343</v>
      </c>
      <c r="B209" s="540" t="s">
        <v>918</v>
      </c>
      <c r="C209" s="541" t="s">
        <v>344</v>
      </c>
      <c r="D209" s="295"/>
      <c r="E209" s="542">
        <v>0</v>
      </c>
      <c r="F209" s="543">
        <v>0</v>
      </c>
      <c r="G209" s="544">
        <v>0</v>
      </c>
      <c r="H209" s="542">
        <v>0</v>
      </c>
      <c r="I209" s="543">
        <v>0</v>
      </c>
      <c r="J209" s="544">
        <v>0</v>
      </c>
      <c r="K209" s="548">
        <v>0</v>
      </c>
    </row>
    <row r="210" spans="1:11" ht="67.5" customHeight="1" x14ac:dyDescent="0.5">
      <c r="A210" s="288" t="s">
        <v>367</v>
      </c>
      <c r="B210" s="540" t="s">
        <v>918</v>
      </c>
      <c r="C210" s="541" t="s">
        <v>368</v>
      </c>
      <c r="D210" s="295"/>
      <c r="E210" s="542">
        <v>0</v>
      </c>
      <c r="F210" s="543">
        <v>0</v>
      </c>
      <c r="G210" s="544">
        <v>0</v>
      </c>
      <c r="H210" s="542">
        <v>0</v>
      </c>
      <c r="I210" s="543">
        <v>0</v>
      </c>
      <c r="J210" s="544">
        <v>0</v>
      </c>
      <c r="K210" s="548">
        <v>7.9000873188334708E-2</v>
      </c>
    </row>
    <row r="211" spans="1:11" ht="67.5" customHeight="1" x14ac:dyDescent="0.5">
      <c r="A211" s="288" t="s">
        <v>287</v>
      </c>
      <c r="B211" s="540" t="s">
        <v>918</v>
      </c>
      <c r="C211" s="541" t="s">
        <v>288</v>
      </c>
      <c r="D211" s="295"/>
      <c r="E211" s="542">
        <v>0</v>
      </c>
      <c r="F211" s="543">
        <v>0</v>
      </c>
      <c r="G211" s="544">
        <v>0</v>
      </c>
      <c r="H211" s="542">
        <v>0</v>
      </c>
      <c r="I211" s="543">
        <v>0</v>
      </c>
      <c r="J211" s="544">
        <v>0</v>
      </c>
      <c r="K211" s="548">
        <v>0.23689519362551933</v>
      </c>
    </row>
    <row r="212" spans="1:11" ht="67.5" customHeight="1" x14ac:dyDescent="0.5">
      <c r="A212" s="288" t="s">
        <v>702</v>
      </c>
      <c r="B212" s="540" t="s">
        <v>918</v>
      </c>
      <c r="C212" s="541" t="s">
        <v>703</v>
      </c>
      <c r="D212" s="295"/>
      <c r="E212" s="542">
        <v>0</v>
      </c>
      <c r="F212" s="543">
        <v>0</v>
      </c>
      <c r="G212" s="544">
        <v>0</v>
      </c>
      <c r="H212" s="542">
        <v>0</v>
      </c>
      <c r="I212" s="543">
        <v>9.7222222222222293E-2</v>
      </c>
      <c r="J212" s="544">
        <v>0.5</v>
      </c>
      <c r="K212" s="548">
        <v>0</v>
      </c>
    </row>
    <row r="213" spans="1:11" ht="67.5" customHeight="1" x14ac:dyDescent="0.5">
      <c r="A213" s="288" t="s">
        <v>722</v>
      </c>
      <c r="B213" s="540" t="s">
        <v>918</v>
      </c>
      <c r="C213" s="541" t="s">
        <v>723</v>
      </c>
      <c r="D213" s="295"/>
      <c r="E213" s="542">
        <v>1</v>
      </c>
      <c r="F213" s="543">
        <v>1</v>
      </c>
      <c r="G213" s="544">
        <v>1</v>
      </c>
      <c r="H213" s="542">
        <v>0.2489331436699857</v>
      </c>
      <c r="I213" s="543">
        <v>0.86111111111111105</v>
      </c>
      <c r="J213" s="544">
        <v>0.66666666666666663</v>
      </c>
      <c r="K213" s="548">
        <v>0</v>
      </c>
    </row>
    <row r="214" spans="1:11" ht="67.5" customHeight="1" x14ac:dyDescent="0.5">
      <c r="A214" s="288" t="s">
        <v>622</v>
      </c>
      <c r="B214" s="540" t="s">
        <v>918</v>
      </c>
      <c r="C214" s="541" t="s">
        <v>623</v>
      </c>
      <c r="D214" s="295"/>
      <c r="E214" s="542">
        <v>0</v>
      </c>
      <c r="F214" s="543">
        <v>0</v>
      </c>
      <c r="G214" s="544">
        <v>0</v>
      </c>
      <c r="H214" s="542">
        <v>0</v>
      </c>
      <c r="I214" s="543">
        <v>0</v>
      </c>
      <c r="J214" s="544">
        <v>0</v>
      </c>
      <c r="K214" s="548">
        <v>0</v>
      </c>
    </row>
    <row r="215" spans="1:11" ht="67.5" customHeight="1" x14ac:dyDescent="0.5">
      <c r="A215" s="288" t="s">
        <v>757</v>
      </c>
      <c r="B215" s="540" t="s">
        <v>918</v>
      </c>
      <c r="C215" s="541" t="s">
        <v>758</v>
      </c>
      <c r="D215" s="295"/>
      <c r="E215" s="542">
        <v>0</v>
      </c>
      <c r="F215" s="543">
        <v>0</v>
      </c>
      <c r="G215" s="544">
        <v>0</v>
      </c>
      <c r="H215" s="542">
        <v>0</v>
      </c>
      <c r="I215" s="543">
        <v>0</v>
      </c>
      <c r="J215" s="544">
        <v>0</v>
      </c>
      <c r="K215" s="548">
        <v>0.16690941437351625</v>
      </c>
    </row>
    <row r="216" spans="1:11" ht="67.5" customHeight="1" x14ac:dyDescent="0.5">
      <c r="A216" s="288" t="s">
        <v>734</v>
      </c>
      <c r="B216" s="540" t="s">
        <v>918</v>
      </c>
      <c r="C216" s="541" t="s">
        <v>735</v>
      </c>
      <c r="D216" s="295"/>
      <c r="E216" s="542">
        <v>0</v>
      </c>
      <c r="F216" s="543">
        <v>0</v>
      </c>
      <c r="G216" s="544">
        <v>0.25</v>
      </c>
      <c r="H216" s="542">
        <v>0</v>
      </c>
      <c r="I216" s="543">
        <v>0</v>
      </c>
      <c r="J216" s="544">
        <v>0</v>
      </c>
      <c r="K216" s="548">
        <v>0</v>
      </c>
    </row>
    <row r="217" spans="1:11" ht="67.5" customHeight="1" x14ac:dyDescent="0.5">
      <c r="A217" s="291" t="s">
        <v>301</v>
      </c>
      <c r="B217" s="584" t="s">
        <v>925</v>
      </c>
      <c r="C217" s="585" t="s">
        <v>302</v>
      </c>
      <c r="D217" s="294" t="s">
        <v>941</v>
      </c>
      <c r="E217" s="586">
        <v>0.5</v>
      </c>
      <c r="F217" s="587">
        <v>0</v>
      </c>
      <c r="G217" s="588">
        <v>0</v>
      </c>
      <c r="H217" s="586">
        <v>1.5789473684210468E-2</v>
      </c>
      <c r="I217" s="587">
        <v>0</v>
      </c>
      <c r="J217" s="588">
        <v>0</v>
      </c>
      <c r="K217" s="545">
        <v>0.24418025961012868</v>
      </c>
    </row>
    <row r="218" spans="1:11" ht="67.5" customHeight="1" x14ac:dyDescent="0.5">
      <c r="A218" s="288" t="s">
        <v>341</v>
      </c>
      <c r="B218" s="540" t="s">
        <v>925</v>
      </c>
      <c r="C218" s="573" t="s">
        <v>342</v>
      </c>
      <c r="D218" s="295" t="s">
        <v>930</v>
      </c>
      <c r="E218" s="542">
        <v>0.5</v>
      </c>
      <c r="F218" s="543">
        <v>0.25</v>
      </c>
      <c r="G218" s="544">
        <v>0.5</v>
      </c>
      <c r="H218" s="542">
        <v>0</v>
      </c>
      <c r="I218" s="543">
        <v>0</v>
      </c>
      <c r="J218" s="544">
        <v>0.11111111111111123</v>
      </c>
      <c r="K218" s="548">
        <v>0.77078545567353285</v>
      </c>
    </row>
    <row r="219" spans="1:11" ht="67.5" customHeight="1" x14ac:dyDescent="0.5">
      <c r="A219" s="288" t="s">
        <v>400</v>
      </c>
      <c r="B219" s="540" t="s">
        <v>925</v>
      </c>
      <c r="C219" s="573" t="s">
        <v>401</v>
      </c>
      <c r="D219" s="295"/>
      <c r="E219" s="542">
        <v>0</v>
      </c>
      <c r="F219" s="543">
        <v>0</v>
      </c>
      <c r="G219" s="544">
        <v>0</v>
      </c>
      <c r="H219" s="542">
        <v>5.2631578947368286E-2</v>
      </c>
      <c r="I219" s="543">
        <v>0</v>
      </c>
      <c r="J219" s="544">
        <v>0</v>
      </c>
      <c r="K219" s="548">
        <v>9.4927476996379462E-2</v>
      </c>
    </row>
    <row r="220" spans="1:11" ht="67.5" customHeight="1" x14ac:dyDescent="0.5">
      <c r="A220" s="288" t="s">
        <v>781</v>
      </c>
      <c r="B220" s="540" t="s">
        <v>925</v>
      </c>
      <c r="C220" s="573" t="s">
        <v>782</v>
      </c>
      <c r="D220" s="295"/>
      <c r="E220" s="542">
        <v>0.5</v>
      </c>
      <c r="F220" s="543">
        <v>1</v>
      </c>
      <c r="G220" s="544">
        <v>1</v>
      </c>
      <c r="H220" s="542">
        <v>0.36315789473684207</v>
      </c>
      <c r="I220" s="543">
        <v>0.7222222222222221</v>
      </c>
      <c r="J220" s="544">
        <v>0.66666666666666663</v>
      </c>
      <c r="K220" s="548">
        <v>0.13828874417545353</v>
      </c>
    </row>
    <row r="221" spans="1:11" ht="67.5" customHeight="1" x14ac:dyDescent="0.5">
      <c r="A221" s="288" t="s">
        <v>555</v>
      </c>
      <c r="B221" s="540" t="s">
        <v>925</v>
      </c>
      <c r="C221" s="573" t="s">
        <v>556</v>
      </c>
      <c r="D221" s="295"/>
      <c r="E221" s="542">
        <v>0</v>
      </c>
      <c r="F221" s="543">
        <v>0</v>
      </c>
      <c r="G221" s="544">
        <v>0</v>
      </c>
      <c r="H221" s="542">
        <v>0</v>
      </c>
      <c r="I221" s="543">
        <v>0</v>
      </c>
      <c r="J221" s="544">
        <v>0</v>
      </c>
      <c r="K221" s="548">
        <v>0</v>
      </c>
    </row>
    <row r="222" spans="1:11" ht="67.5" customHeight="1" x14ac:dyDescent="0.5">
      <c r="A222" s="288" t="s">
        <v>642</v>
      </c>
      <c r="B222" s="540" t="s">
        <v>925</v>
      </c>
      <c r="C222" s="573" t="s">
        <v>643</v>
      </c>
      <c r="D222" s="295"/>
      <c r="E222" s="542">
        <v>0.25</v>
      </c>
      <c r="F222" s="543">
        <v>0.25</v>
      </c>
      <c r="G222" s="544">
        <v>0</v>
      </c>
      <c r="H222" s="542">
        <v>1.5789473684210468E-2</v>
      </c>
      <c r="I222" s="543">
        <v>0</v>
      </c>
      <c r="J222" s="544">
        <v>0</v>
      </c>
      <c r="K222" s="548">
        <v>0</v>
      </c>
    </row>
    <row r="223" spans="1:11" ht="67.5" customHeight="1" x14ac:dyDescent="0.5">
      <c r="A223" s="288" t="s">
        <v>732</v>
      </c>
      <c r="B223" s="540" t="s">
        <v>925</v>
      </c>
      <c r="C223" s="573" t="s">
        <v>733</v>
      </c>
      <c r="D223" s="295"/>
      <c r="E223" s="542">
        <v>0</v>
      </c>
      <c r="F223" s="543">
        <v>0.5</v>
      </c>
      <c r="G223" s="544">
        <v>0.25</v>
      </c>
      <c r="H223" s="542">
        <v>1.5789473684210468E-2</v>
      </c>
      <c r="I223" s="543">
        <v>0</v>
      </c>
      <c r="J223" s="544">
        <v>0</v>
      </c>
      <c r="K223" s="548">
        <v>7.2903826887485406E-3</v>
      </c>
    </row>
    <row r="224" spans="1:11" ht="67.5" customHeight="1" x14ac:dyDescent="0.5">
      <c r="A224" s="288" t="s">
        <v>688</v>
      </c>
      <c r="B224" s="540" t="s">
        <v>925</v>
      </c>
      <c r="C224" s="573" t="s">
        <v>689</v>
      </c>
      <c r="D224" s="295"/>
      <c r="E224" s="542">
        <v>0</v>
      </c>
      <c r="F224" s="543">
        <v>0</v>
      </c>
      <c r="G224" s="544">
        <v>0</v>
      </c>
      <c r="H224" s="542">
        <v>0</v>
      </c>
      <c r="I224" s="543">
        <v>0.14062499999999997</v>
      </c>
      <c r="J224" s="544">
        <v>0.83333333333333337</v>
      </c>
      <c r="K224" s="548">
        <v>0.51865965820255888</v>
      </c>
    </row>
    <row r="225" spans="1:11" ht="67.5" customHeight="1" x14ac:dyDescent="0.5">
      <c r="A225" s="288" t="s">
        <v>608</v>
      </c>
      <c r="B225" s="540" t="s">
        <v>925</v>
      </c>
      <c r="C225" s="573" t="s">
        <v>609</v>
      </c>
      <c r="D225" s="295"/>
      <c r="E225" s="542">
        <v>0.25</v>
      </c>
      <c r="F225" s="543">
        <v>0</v>
      </c>
      <c r="G225" s="544">
        <v>0</v>
      </c>
      <c r="H225" s="542">
        <v>0</v>
      </c>
      <c r="I225" s="543">
        <v>0</v>
      </c>
      <c r="J225" s="544">
        <v>0</v>
      </c>
      <c r="K225" s="548">
        <v>0</v>
      </c>
    </row>
    <row r="226" spans="1:11" ht="67.5" customHeight="1" x14ac:dyDescent="0.5">
      <c r="A226" s="288" t="s">
        <v>417</v>
      </c>
      <c r="B226" s="540" t="s">
        <v>925</v>
      </c>
      <c r="C226" s="573" t="s">
        <v>418</v>
      </c>
      <c r="D226" s="295"/>
      <c r="E226" s="542">
        <v>0.25</v>
      </c>
      <c r="F226" s="543">
        <v>0</v>
      </c>
      <c r="G226" s="544">
        <v>0.25</v>
      </c>
      <c r="H226" s="542">
        <v>0</v>
      </c>
      <c r="I226" s="543">
        <v>0</v>
      </c>
      <c r="J226" s="544">
        <v>0</v>
      </c>
      <c r="K226" s="548">
        <v>0</v>
      </c>
    </row>
    <row r="227" spans="1:11" ht="67.5" customHeight="1" x14ac:dyDescent="0.5">
      <c r="A227" s="289" t="s">
        <v>252</v>
      </c>
      <c r="B227" s="551" t="s">
        <v>925</v>
      </c>
      <c r="C227" s="552" t="s">
        <v>253</v>
      </c>
      <c r="D227" s="296"/>
      <c r="E227" s="553">
        <v>0</v>
      </c>
      <c r="F227" s="554">
        <v>0.75</v>
      </c>
      <c r="G227" s="555">
        <v>0.5</v>
      </c>
      <c r="H227" s="553">
        <v>0.30526315789473685</v>
      </c>
      <c r="I227" s="554">
        <v>2.7777777777777679E-2</v>
      </c>
      <c r="J227" s="555">
        <v>0.40740740740740744</v>
      </c>
      <c r="K227" s="556">
        <v>0.12243879533170053</v>
      </c>
    </row>
    <row r="228" spans="1:11" ht="67.5" customHeight="1" x14ac:dyDescent="0.5">
      <c r="A228" s="288" t="s">
        <v>337</v>
      </c>
      <c r="B228" s="540" t="s">
        <v>993</v>
      </c>
      <c r="C228" s="541" t="s">
        <v>338</v>
      </c>
      <c r="D228" s="295" t="s">
        <v>956</v>
      </c>
      <c r="E228" s="542">
        <v>0</v>
      </c>
      <c r="F228" s="543">
        <v>0</v>
      </c>
      <c r="G228" s="544">
        <v>0</v>
      </c>
      <c r="H228" s="542">
        <v>7.3684210526315755E-2</v>
      </c>
      <c r="I228" s="543">
        <v>0.12162162162162156</v>
      </c>
      <c r="J228" s="544">
        <v>0</v>
      </c>
      <c r="K228" s="548">
        <v>0</v>
      </c>
    </row>
    <row r="229" spans="1:11" ht="67.5" customHeight="1" x14ac:dyDescent="0.5">
      <c r="A229" s="288" t="s">
        <v>395</v>
      </c>
      <c r="B229" s="540" t="s">
        <v>993</v>
      </c>
      <c r="C229" s="541" t="s">
        <v>396</v>
      </c>
      <c r="D229" s="295" t="s">
        <v>397</v>
      </c>
      <c r="E229" s="542">
        <v>1</v>
      </c>
      <c r="F229" s="543">
        <v>1</v>
      </c>
      <c r="G229" s="544">
        <v>1</v>
      </c>
      <c r="H229" s="542">
        <v>0.94736842105263164</v>
      </c>
      <c r="I229" s="543">
        <v>1</v>
      </c>
      <c r="J229" s="544">
        <v>1</v>
      </c>
      <c r="K229" s="548">
        <v>0.83329811092660477</v>
      </c>
    </row>
    <row r="230" spans="1:11" ht="67.5" customHeight="1" x14ac:dyDescent="0.5">
      <c r="A230" s="288" t="s">
        <v>391</v>
      </c>
      <c r="B230" s="540" t="s">
        <v>993</v>
      </c>
      <c r="C230" s="541" t="s">
        <v>392</v>
      </c>
      <c r="D230" s="295" t="s">
        <v>943</v>
      </c>
      <c r="E230" s="542">
        <v>0</v>
      </c>
      <c r="F230" s="543">
        <v>0</v>
      </c>
      <c r="G230" s="544">
        <v>0</v>
      </c>
      <c r="H230" s="542">
        <v>0</v>
      </c>
      <c r="I230" s="543">
        <v>0</v>
      </c>
      <c r="J230" s="544">
        <v>0.11111111111111123</v>
      </c>
      <c r="K230" s="548">
        <v>0.1120802212531264</v>
      </c>
    </row>
    <row r="231" spans="1:11" ht="67.5" customHeight="1" x14ac:dyDescent="0.5">
      <c r="A231" s="288" t="s">
        <v>256</v>
      </c>
      <c r="B231" s="540" t="s">
        <v>993</v>
      </c>
      <c r="C231" s="541" t="s">
        <v>257</v>
      </c>
      <c r="D231" s="295" t="s">
        <v>950</v>
      </c>
      <c r="E231" s="542">
        <v>0</v>
      </c>
      <c r="F231" s="543">
        <v>0</v>
      </c>
      <c r="G231" s="544">
        <v>0</v>
      </c>
      <c r="H231" s="542">
        <v>0</v>
      </c>
      <c r="I231" s="543">
        <v>0</v>
      </c>
      <c r="J231" s="544">
        <v>0</v>
      </c>
      <c r="K231" s="548">
        <v>7.0560499032264704E-2</v>
      </c>
    </row>
    <row r="232" spans="1:11" ht="67.5" customHeight="1" x14ac:dyDescent="0.5">
      <c r="A232" s="288" t="s">
        <v>319</v>
      </c>
      <c r="B232" s="540" t="s">
        <v>993</v>
      </c>
      <c r="C232" s="541" t="s">
        <v>320</v>
      </c>
      <c r="D232" s="295" t="s">
        <v>940</v>
      </c>
      <c r="E232" s="542">
        <v>0</v>
      </c>
      <c r="F232" s="543">
        <v>0</v>
      </c>
      <c r="G232" s="544">
        <v>0</v>
      </c>
      <c r="H232" s="542">
        <v>0</v>
      </c>
      <c r="I232" s="543">
        <v>0</v>
      </c>
      <c r="J232" s="544">
        <v>0</v>
      </c>
      <c r="K232" s="548">
        <v>0.28058993897286988</v>
      </c>
    </row>
    <row r="233" spans="1:11" ht="67.5" customHeight="1" x14ac:dyDescent="0.5">
      <c r="A233" s="288" t="s">
        <v>805</v>
      </c>
      <c r="B233" s="540" t="s">
        <v>993</v>
      </c>
      <c r="C233" s="541" t="s">
        <v>806</v>
      </c>
      <c r="D233" s="295" t="s">
        <v>939</v>
      </c>
      <c r="E233" s="542">
        <v>0</v>
      </c>
      <c r="F233" s="543">
        <v>0</v>
      </c>
      <c r="G233" s="544">
        <v>0</v>
      </c>
      <c r="H233" s="542">
        <v>0.18947368421052627</v>
      </c>
      <c r="I233" s="543">
        <v>9.7222222222222293E-2</v>
      </c>
      <c r="J233" s="544">
        <v>0.5</v>
      </c>
      <c r="K233" s="548">
        <v>0</v>
      </c>
    </row>
    <row r="234" spans="1:11" ht="67.5" customHeight="1" x14ac:dyDescent="0.5">
      <c r="A234" s="288" t="s">
        <v>299</v>
      </c>
      <c r="B234" s="540" t="s">
        <v>993</v>
      </c>
      <c r="C234" s="541" t="s">
        <v>300</v>
      </c>
      <c r="D234" s="295" t="s">
        <v>952</v>
      </c>
      <c r="E234" s="542">
        <v>0</v>
      </c>
      <c r="F234" s="543">
        <v>0</v>
      </c>
      <c r="G234" s="544">
        <v>0</v>
      </c>
      <c r="H234" s="542">
        <v>1.5789473684210468E-2</v>
      </c>
      <c r="I234" s="543">
        <v>0</v>
      </c>
      <c r="J234" s="544">
        <v>0</v>
      </c>
      <c r="K234" s="548">
        <v>2.2144411380569461E-2</v>
      </c>
    </row>
    <row r="235" spans="1:11" ht="67.5" customHeight="1" x14ac:dyDescent="0.5">
      <c r="A235" s="288" t="s">
        <v>276</v>
      </c>
      <c r="B235" s="540" t="s">
        <v>993</v>
      </c>
      <c r="C235" s="541" t="s">
        <v>277</v>
      </c>
      <c r="D235" s="589" t="s">
        <v>927</v>
      </c>
      <c r="E235" s="542">
        <v>1</v>
      </c>
      <c r="F235" s="543">
        <v>1</v>
      </c>
      <c r="G235" s="544">
        <v>1</v>
      </c>
      <c r="H235" s="542">
        <v>0.18947368421052627</v>
      </c>
      <c r="I235" s="543">
        <v>0.18918918918918912</v>
      </c>
      <c r="J235" s="544">
        <v>0.40740740740740744</v>
      </c>
      <c r="K235" s="548">
        <v>0</v>
      </c>
    </row>
    <row r="236" spans="1:11" ht="67.5" customHeight="1" x14ac:dyDescent="0.5">
      <c r="A236" s="288" t="s">
        <v>819</v>
      </c>
      <c r="B236" s="540" t="s">
        <v>993</v>
      </c>
      <c r="C236" s="541" t="s">
        <v>820</v>
      </c>
      <c r="D236" s="295" t="s">
        <v>947</v>
      </c>
      <c r="E236" s="542">
        <v>0</v>
      </c>
      <c r="F236" s="543">
        <v>0</v>
      </c>
      <c r="G236" s="544">
        <v>0</v>
      </c>
      <c r="H236" s="542">
        <v>1.5789473684210468E-2</v>
      </c>
      <c r="I236" s="543">
        <v>2.7777777777777679E-2</v>
      </c>
      <c r="J236" s="544">
        <v>0.16666666666666666</v>
      </c>
      <c r="K236" s="548">
        <v>0</v>
      </c>
    </row>
    <row r="237" spans="1:11" ht="67.5" customHeight="1" x14ac:dyDescent="0.5">
      <c r="A237" s="288" t="s">
        <v>381</v>
      </c>
      <c r="B237" s="540" t="s">
        <v>993</v>
      </c>
      <c r="C237" s="541" t="s">
        <v>382</v>
      </c>
      <c r="D237" s="295" t="s">
        <v>944</v>
      </c>
      <c r="E237" s="542">
        <v>0</v>
      </c>
      <c r="F237" s="543">
        <v>0</v>
      </c>
      <c r="G237" s="544">
        <v>0</v>
      </c>
      <c r="H237" s="542">
        <v>1.5789473684210468E-2</v>
      </c>
      <c r="I237" s="543">
        <v>0</v>
      </c>
      <c r="J237" s="544">
        <v>3.7037037037037125E-2</v>
      </c>
      <c r="K237" s="548">
        <v>0.17058957111514467</v>
      </c>
    </row>
    <row r="238" spans="1:11" ht="67.5" customHeight="1" x14ac:dyDescent="0.5">
      <c r="A238" s="288" t="s">
        <v>315</v>
      </c>
      <c r="B238" s="540" t="s">
        <v>993</v>
      </c>
      <c r="C238" s="541" t="s">
        <v>316</v>
      </c>
      <c r="D238" s="295" t="s">
        <v>946</v>
      </c>
      <c r="E238" s="542">
        <v>0</v>
      </c>
      <c r="F238" s="543">
        <v>0</v>
      </c>
      <c r="G238" s="544">
        <v>0</v>
      </c>
      <c r="H238" s="542">
        <v>1.5789473684210468E-2</v>
      </c>
      <c r="I238" s="543">
        <v>0.12162162162162156</v>
      </c>
      <c r="J238" s="544">
        <v>0.18518518518518512</v>
      </c>
      <c r="K238" s="548">
        <v>0</v>
      </c>
    </row>
    <row r="239" spans="1:11" ht="67.5" customHeight="1" x14ac:dyDescent="0.5">
      <c r="A239" s="288" t="s">
        <v>879</v>
      </c>
      <c r="B239" s="540" t="s">
        <v>993</v>
      </c>
      <c r="C239" s="541" t="s">
        <v>880</v>
      </c>
      <c r="D239" s="295" t="s">
        <v>957</v>
      </c>
      <c r="E239" s="542">
        <v>0</v>
      </c>
      <c r="F239" s="543">
        <v>0</v>
      </c>
      <c r="G239" s="544">
        <v>0</v>
      </c>
      <c r="H239" s="542">
        <v>0</v>
      </c>
      <c r="I239" s="543">
        <v>0</v>
      </c>
      <c r="J239" s="544">
        <v>0</v>
      </c>
      <c r="K239" s="548">
        <v>0</v>
      </c>
    </row>
    <row r="240" spans="1:11" ht="67.5" customHeight="1" x14ac:dyDescent="0.5">
      <c r="A240" s="288" t="s">
        <v>743</v>
      </c>
      <c r="B240" s="540" t="s">
        <v>993</v>
      </c>
      <c r="C240" s="541" t="s">
        <v>744</v>
      </c>
      <c r="D240" s="295" t="s">
        <v>945</v>
      </c>
      <c r="E240" s="542">
        <v>0</v>
      </c>
      <c r="F240" s="543">
        <v>0</v>
      </c>
      <c r="G240" s="544">
        <v>0</v>
      </c>
      <c r="H240" s="542">
        <v>0</v>
      </c>
      <c r="I240" s="543">
        <v>0</v>
      </c>
      <c r="J240" s="544">
        <v>0</v>
      </c>
      <c r="K240" s="548">
        <v>0.20047890906944549</v>
      </c>
    </row>
    <row r="241" spans="1:17" ht="67.5" customHeight="1" x14ac:dyDescent="0.5">
      <c r="A241" s="292" t="s">
        <v>280</v>
      </c>
      <c r="B241" s="540" t="s">
        <v>993</v>
      </c>
      <c r="C241" s="541" t="s">
        <v>281</v>
      </c>
      <c r="D241" s="295" t="s">
        <v>282</v>
      </c>
      <c r="E241" s="542">
        <v>1</v>
      </c>
      <c r="F241" s="543">
        <v>1</v>
      </c>
      <c r="G241" s="544">
        <v>1</v>
      </c>
      <c r="H241" s="542">
        <v>1</v>
      </c>
      <c r="I241" s="543">
        <v>1</v>
      </c>
      <c r="J241" s="544">
        <v>1</v>
      </c>
      <c r="K241" s="548">
        <v>0.67771656553031512</v>
      </c>
    </row>
    <row r="242" spans="1:17" ht="67.5" customHeight="1" x14ac:dyDescent="0.5">
      <c r="A242" s="288" t="s">
        <v>377</v>
      </c>
      <c r="B242" s="540" t="s">
        <v>993</v>
      </c>
      <c r="C242" s="541" t="s">
        <v>378</v>
      </c>
      <c r="D242" s="295" t="s">
        <v>948</v>
      </c>
      <c r="E242" s="542">
        <v>0</v>
      </c>
      <c r="F242" s="543">
        <v>0</v>
      </c>
      <c r="G242" s="544">
        <v>0</v>
      </c>
      <c r="H242" s="542">
        <v>1.5789473684210468E-2</v>
      </c>
      <c r="I242" s="543">
        <v>0</v>
      </c>
      <c r="J242" s="544">
        <v>3.7037037037037125E-2</v>
      </c>
      <c r="K242" s="548">
        <v>0.10345838154869498</v>
      </c>
    </row>
    <row r="243" spans="1:17" ht="67.5" customHeight="1" x14ac:dyDescent="0.5">
      <c r="A243" s="288" t="s">
        <v>398</v>
      </c>
      <c r="B243" s="540" t="s">
        <v>993</v>
      </c>
      <c r="C243" s="541" t="s">
        <v>399</v>
      </c>
      <c r="D243" s="295" t="s">
        <v>958</v>
      </c>
      <c r="E243" s="542">
        <v>0</v>
      </c>
      <c r="F243" s="543">
        <v>0</v>
      </c>
      <c r="G243" s="544">
        <v>0</v>
      </c>
      <c r="H243" s="542">
        <v>0.10526315789473689</v>
      </c>
      <c r="I243" s="543">
        <v>0</v>
      </c>
      <c r="J243" s="544">
        <v>0</v>
      </c>
      <c r="K243" s="548">
        <v>0</v>
      </c>
    </row>
    <row r="244" spans="1:17" ht="67.5" customHeight="1" x14ac:dyDescent="0.5">
      <c r="A244" s="288" t="s">
        <v>335</v>
      </c>
      <c r="B244" s="540" t="s">
        <v>993</v>
      </c>
      <c r="C244" s="541" t="s">
        <v>336</v>
      </c>
      <c r="D244" s="295" t="s">
        <v>953</v>
      </c>
      <c r="E244" s="542">
        <v>0</v>
      </c>
      <c r="F244" s="543">
        <v>0</v>
      </c>
      <c r="G244" s="544">
        <v>0</v>
      </c>
      <c r="H244" s="542">
        <v>1.5789473684210468E-2</v>
      </c>
      <c r="I244" s="543">
        <v>5.4054054054054022E-2</v>
      </c>
      <c r="J244" s="544">
        <v>0</v>
      </c>
      <c r="K244" s="548">
        <v>2.0146877003390656E-3</v>
      </c>
    </row>
    <row r="245" spans="1:17" ht="67.5" customHeight="1" x14ac:dyDescent="0.5">
      <c r="A245" s="288" t="s">
        <v>355</v>
      </c>
      <c r="B245" s="540" t="s">
        <v>993</v>
      </c>
      <c r="C245" s="541" t="s">
        <v>356</v>
      </c>
      <c r="D245" s="295" t="s">
        <v>928</v>
      </c>
      <c r="E245" s="542">
        <v>0.75</v>
      </c>
      <c r="F245" s="543">
        <v>1</v>
      </c>
      <c r="G245" s="544">
        <v>1</v>
      </c>
      <c r="H245" s="542">
        <v>7.3684210526315755E-2</v>
      </c>
      <c r="I245" s="543">
        <v>5.4054054054054022E-2</v>
      </c>
      <c r="J245" s="544">
        <v>0.40740740740740744</v>
      </c>
      <c r="K245" s="548">
        <v>5.8284574098028934E-3</v>
      </c>
    </row>
    <row r="246" spans="1:17" ht="67.5" customHeight="1" x14ac:dyDescent="0.5">
      <c r="A246" s="288" t="s">
        <v>745</v>
      </c>
      <c r="B246" s="540" t="s">
        <v>993</v>
      </c>
      <c r="C246" s="541" t="s">
        <v>746</v>
      </c>
      <c r="D246" s="295" t="s">
        <v>959</v>
      </c>
      <c r="E246" s="542">
        <v>0</v>
      </c>
      <c r="F246" s="543">
        <v>0</v>
      </c>
      <c r="G246" s="544">
        <v>0</v>
      </c>
      <c r="H246" s="542">
        <v>0</v>
      </c>
      <c r="I246" s="543">
        <v>0</v>
      </c>
      <c r="J246" s="544">
        <v>0</v>
      </c>
      <c r="K246" s="548">
        <v>0</v>
      </c>
    </row>
    <row r="247" spans="1:17" ht="67.5" customHeight="1" x14ac:dyDescent="0.5">
      <c r="A247" s="288" t="s">
        <v>883</v>
      </c>
      <c r="B247" s="540" t="s">
        <v>993</v>
      </c>
      <c r="C247" s="541" t="s">
        <v>884</v>
      </c>
      <c r="D247" s="295" t="s">
        <v>924</v>
      </c>
      <c r="E247" s="542">
        <v>1</v>
      </c>
      <c r="F247" s="543">
        <v>1</v>
      </c>
      <c r="G247" s="544">
        <v>1</v>
      </c>
      <c r="H247" s="542">
        <v>1</v>
      </c>
      <c r="I247" s="543">
        <v>1</v>
      </c>
      <c r="J247" s="544">
        <v>1</v>
      </c>
      <c r="K247" s="548">
        <v>0</v>
      </c>
    </row>
    <row r="248" spans="1:17" ht="67.5" customHeight="1" x14ac:dyDescent="0.5">
      <c r="A248" s="288" t="s">
        <v>885</v>
      </c>
      <c r="B248" s="540" t="s">
        <v>993</v>
      </c>
      <c r="C248" s="541" t="s">
        <v>886</v>
      </c>
      <c r="D248" s="295" t="s">
        <v>951</v>
      </c>
      <c r="E248" s="542">
        <v>0</v>
      </c>
      <c r="F248" s="543">
        <v>0</v>
      </c>
      <c r="G248" s="544">
        <v>0</v>
      </c>
      <c r="H248" s="542">
        <v>0</v>
      </c>
      <c r="I248" s="543">
        <v>5.4054054054054022E-2</v>
      </c>
      <c r="J248" s="544">
        <v>3.0303030303030203E-2</v>
      </c>
      <c r="K248" s="548">
        <v>0</v>
      </c>
    </row>
    <row r="249" spans="1:17" ht="67.5" customHeight="1" x14ac:dyDescent="0.5">
      <c r="A249" s="288" t="s">
        <v>375</v>
      </c>
      <c r="B249" s="540" t="s">
        <v>993</v>
      </c>
      <c r="C249" s="541" t="s">
        <v>376</v>
      </c>
      <c r="D249" s="295" t="s">
        <v>929</v>
      </c>
      <c r="E249" s="542">
        <v>0.5</v>
      </c>
      <c r="F249" s="543">
        <v>1</v>
      </c>
      <c r="G249" s="544">
        <v>1</v>
      </c>
      <c r="H249" s="542">
        <v>7.3684210526315755E-2</v>
      </c>
      <c r="I249" s="543">
        <v>0.12162162162162156</v>
      </c>
      <c r="J249" s="544">
        <v>0.40740740740740744</v>
      </c>
      <c r="K249" s="548">
        <v>0</v>
      </c>
    </row>
    <row r="250" spans="1:17" ht="67.5" customHeight="1" x14ac:dyDescent="0.5">
      <c r="A250" s="288" t="s">
        <v>412</v>
      </c>
      <c r="B250" s="540" t="s">
        <v>993</v>
      </c>
      <c r="C250" s="541" t="s">
        <v>413</v>
      </c>
      <c r="D250" s="295" t="s">
        <v>960</v>
      </c>
      <c r="E250" s="542">
        <v>0</v>
      </c>
      <c r="F250" s="543">
        <v>0</v>
      </c>
      <c r="G250" s="544">
        <v>0</v>
      </c>
      <c r="H250" s="542">
        <v>5.2631578947368286E-2</v>
      </c>
      <c r="I250" s="543">
        <v>0</v>
      </c>
      <c r="J250" s="544">
        <v>0</v>
      </c>
      <c r="K250" s="548">
        <v>0</v>
      </c>
    </row>
    <row r="251" spans="1:17" ht="67.5" customHeight="1" x14ac:dyDescent="0.5">
      <c r="A251" s="288" t="s">
        <v>379</v>
      </c>
      <c r="B251" s="540" t="s">
        <v>993</v>
      </c>
      <c r="C251" s="541" t="s">
        <v>380</v>
      </c>
      <c r="D251" s="295" t="s">
        <v>936</v>
      </c>
      <c r="E251" s="542">
        <v>0.75</v>
      </c>
      <c r="F251" s="543">
        <v>0.5</v>
      </c>
      <c r="G251" s="544">
        <v>0.5</v>
      </c>
      <c r="H251" s="542">
        <v>7.3684210526315755E-2</v>
      </c>
      <c r="I251" s="543">
        <v>0</v>
      </c>
      <c r="J251" s="544">
        <v>3.7037037037037125E-2</v>
      </c>
      <c r="K251" s="548">
        <v>0.16494821871840332</v>
      </c>
    </row>
    <row r="252" spans="1:17" ht="67.5" customHeight="1" x14ac:dyDescent="0.5">
      <c r="A252" s="292" t="s">
        <v>20</v>
      </c>
      <c r="B252" s="540" t="s">
        <v>993</v>
      </c>
      <c r="C252" s="541" t="s">
        <v>21</v>
      </c>
      <c r="D252" s="295" t="s">
        <v>22</v>
      </c>
      <c r="E252" s="542">
        <v>0.5</v>
      </c>
      <c r="F252" s="543">
        <v>1</v>
      </c>
      <c r="G252" s="544">
        <v>1</v>
      </c>
      <c r="H252" s="542">
        <v>0.21052631578947378</v>
      </c>
      <c r="I252" s="543">
        <v>0.75000000000000011</v>
      </c>
      <c r="J252" s="544">
        <v>0.92727272727272725</v>
      </c>
      <c r="K252" s="548">
        <v>0.76479506790014318</v>
      </c>
    </row>
    <row r="253" spans="1:17" ht="67.5" customHeight="1" x14ac:dyDescent="0.5">
      <c r="A253" s="288" t="s">
        <v>763</v>
      </c>
      <c r="B253" s="540" t="s">
        <v>1939</v>
      </c>
      <c r="C253" s="541" t="s">
        <v>764</v>
      </c>
      <c r="D253" s="295" t="s">
        <v>961</v>
      </c>
      <c r="E253" s="542">
        <v>0</v>
      </c>
      <c r="F253" s="543">
        <v>0</v>
      </c>
      <c r="G253" s="544">
        <v>0</v>
      </c>
      <c r="H253" s="542">
        <v>0</v>
      </c>
      <c r="I253" s="543">
        <v>0</v>
      </c>
      <c r="J253" s="544">
        <v>0</v>
      </c>
      <c r="K253" s="548">
        <v>0</v>
      </c>
    </row>
    <row r="254" spans="1:17" ht="67.5" customHeight="1" x14ac:dyDescent="0.5">
      <c r="A254" s="291" t="s">
        <v>563</v>
      </c>
      <c r="B254" s="590" t="s">
        <v>915</v>
      </c>
      <c r="C254" s="585" t="s">
        <v>564</v>
      </c>
      <c r="D254" s="294"/>
      <c r="E254" s="586">
        <v>0</v>
      </c>
      <c r="F254" s="587">
        <v>0</v>
      </c>
      <c r="G254" s="588">
        <v>0</v>
      </c>
      <c r="H254" s="586">
        <v>0</v>
      </c>
      <c r="I254" s="587">
        <v>0</v>
      </c>
      <c r="J254" s="588">
        <v>0</v>
      </c>
      <c r="K254" s="545">
        <v>6.6397904777002179E-2</v>
      </c>
    </row>
    <row r="255" spans="1:17" ht="67.5" customHeight="1" x14ac:dyDescent="0.5">
      <c r="A255" s="288" t="s">
        <v>297</v>
      </c>
      <c r="B255" s="591" t="s">
        <v>915</v>
      </c>
      <c r="C255" s="573" t="s">
        <v>298</v>
      </c>
      <c r="D255" s="295"/>
      <c r="E255" s="542">
        <v>1</v>
      </c>
      <c r="F255" s="543">
        <v>1</v>
      </c>
      <c r="G255" s="544">
        <v>1</v>
      </c>
      <c r="H255" s="542">
        <v>0.36315789473684207</v>
      </c>
      <c r="I255" s="543">
        <v>0.59459459459459452</v>
      </c>
      <c r="J255" s="544">
        <v>0.92592592592592593</v>
      </c>
      <c r="K255" s="548">
        <v>0.16376187624577085</v>
      </c>
      <c r="Q255" s="549"/>
    </row>
    <row r="256" spans="1:17" ht="67.5" customHeight="1" x14ac:dyDescent="0.5">
      <c r="A256" s="288" t="s">
        <v>317</v>
      </c>
      <c r="B256" s="591" t="s">
        <v>915</v>
      </c>
      <c r="C256" s="573" t="s">
        <v>318</v>
      </c>
      <c r="D256" s="295"/>
      <c r="E256" s="542">
        <v>0</v>
      </c>
      <c r="F256" s="543">
        <v>0</v>
      </c>
      <c r="G256" s="544">
        <v>0</v>
      </c>
      <c r="H256" s="542">
        <v>0</v>
      </c>
      <c r="I256" s="543">
        <v>0</v>
      </c>
      <c r="J256" s="544">
        <v>0</v>
      </c>
      <c r="K256" s="548">
        <v>0</v>
      </c>
      <c r="Q256" s="549"/>
    </row>
    <row r="257" spans="1:11" ht="67.5" customHeight="1" x14ac:dyDescent="0.5">
      <c r="A257" s="292" t="s">
        <v>588</v>
      </c>
      <c r="B257" s="591" t="s">
        <v>915</v>
      </c>
      <c r="C257" s="573" t="s">
        <v>589</v>
      </c>
      <c r="D257" s="295"/>
      <c r="E257" s="542">
        <v>0</v>
      </c>
      <c r="F257" s="543">
        <v>0</v>
      </c>
      <c r="G257" s="544">
        <v>0.5</v>
      </c>
      <c r="H257" s="542">
        <v>0.5368421052631579</v>
      </c>
      <c r="I257" s="543">
        <v>1</v>
      </c>
      <c r="J257" s="544">
        <v>1</v>
      </c>
      <c r="K257" s="548">
        <v>0.80351043174579195</v>
      </c>
    </row>
    <row r="258" spans="1:11" ht="67.5" customHeight="1" x14ac:dyDescent="0.5">
      <c r="A258" s="288" t="s">
        <v>753</v>
      </c>
      <c r="B258" s="591" t="s">
        <v>915</v>
      </c>
      <c r="C258" s="573" t="s">
        <v>754</v>
      </c>
      <c r="D258" s="295"/>
      <c r="E258" s="542">
        <v>0.5</v>
      </c>
      <c r="F258" s="543">
        <v>1</v>
      </c>
      <c r="G258" s="544">
        <v>1</v>
      </c>
      <c r="H258" s="542">
        <v>0</v>
      </c>
      <c r="I258" s="543">
        <v>0</v>
      </c>
      <c r="J258" s="544">
        <v>0</v>
      </c>
      <c r="K258" s="548">
        <v>0.46883458336326139</v>
      </c>
    </row>
    <row r="259" spans="1:11" ht="67.5" customHeight="1" x14ac:dyDescent="0.5">
      <c r="A259" s="288" t="s">
        <v>557</v>
      </c>
      <c r="B259" s="591" t="s">
        <v>915</v>
      </c>
      <c r="C259" s="573" t="s">
        <v>558</v>
      </c>
      <c r="D259" s="295"/>
      <c r="E259" s="542">
        <v>0</v>
      </c>
      <c r="F259" s="543">
        <v>0.5</v>
      </c>
      <c r="G259" s="544">
        <v>0</v>
      </c>
      <c r="H259" s="542">
        <v>0</v>
      </c>
      <c r="I259" s="543">
        <v>0</v>
      </c>
      <c r="J259" s="544">
        <v>3.7037037037037125E-2</v>
      </c>
      <c r="K259" s="548">
        <v>0.69573753144106187</v>
      </c>
    </row>
    <row r="260" spans="1:11" ht="67.5" customHeight="1" x14ac:dyDescent="0.5">
      <c r="A260" s="288" t="s">
        <v>839</v>
      </c>
      <c r="B260" s="591" t="s">
        <v>915</v>
      </c>
      <c r="C260" s="573" t="s">
        <v>840</v>
      </c>
      <c r="D260" s="295"/>
      <c r="E260" s="542">
        <v>0</v>
      </c>
      <c r="F260" s="543">
        <v>0</v>
      </c>
      <c r="G260" s="544">
        <v>0</v>
      </c>
      <c r="H260" s="542">
        <v>1.5789473684210468E-2</v>
      </c>
      <c r="I260" s="543">
        <v>0</v>
      </c>
      <c r="J260" s="544">
        <v>8.3333333333333329E-2</v>
      </c>
      <c r="K260" s="548">
        <v>0</v>
      </c>
    </row>
    <row r="261" spans="1:11" ht="67.5" customHeight="1" x14ac:dyDescent="0.5">
      <c r="A261" s="292" t="s">
        <v>270</v>
      </c>
      <c r="B261" s="591" t="s">
        <v>915</v>
      </c>
      <c r="C261" s="573" t="s">
        <v>271</v>
      </c>
      <c r="D261" s="295"/>
      <c r="E261" s="542">
        <v>1</v>
      </c>
      <c r="F261" s="543">
        <v>1</v>
      </c>
      <c r="G261" s="544">
        <v>1</v>
      </c>
      <c r="H261" s="542">
        <v>1</v>
      </c>
      <c r="I261" s="543">
        <v>1</v>
      </c>
      <c r="J261" s="544">
        <v>1</v>
      </c>
      <c r="K261" s="548">
        <v>0.9060107490210435</v>
      </c>
    </row>
    <row r="262" spans="1:11" ht="67.5" customHeight="1" x14ac:dyDescent="0.5">
      <c r="A262" s="292" t="s">
        <v>331</v>
      </c>
      <c r="B262" s="591" t="s">
        <v>915</v>
      </c>
      <c r="C262" s="573" t="s">
        <v>332</v>
      </c>
      <c r="D262" s="295"/>
      <c r="E262" s="542">
        <v>1</v>
      </c>
      <c r="F262" s="543">
        <v>1</v>
      </c>
      <c r="G262" s="544">
        <v>1</v>
      </c>
      <c r="H262" s="542">
        <v>1</v>
      </c>
      <c r="I262" s="543">
        <v>1</v>
      </c>
      <c r="J262" s="544">
        <v>1</v>
      </c>
      <c r="K262" s="548">
        <v>0.86358585775635011</v>
      </c>
    </row>
    <row r="263" spans="1:11" ht="67.5" customHeight="1" x14ac:dyDescent="0.5">
      <c r="A263" s="292" t="s">
        <v>311</v>
      </c>
      <c r="B263" s="591" t="s">
        <v>915</v>
      </c>
      <c r="C263" s="573" t="s">
        <v>312</v>
      </c>
      <c r="D263" s="295"/>
      <c r="E263" s="542">
        <v>1</v>
      </c>
      <c r="F263" s="543">
        <v>1</v>
      </c>
      <c r="G263" s="544">
        <v>1</v>
      </c>
      <c r="H263" s="542">
        <v>1</v>
      </c>
      <c r="I263" s="543">
        <v>1</v>
      </c>
      <c r="J263" s="544">
        <v>1</v>
      </c>
      <c r="K263" s="548">
        <v>0.88621683779424865</v>
      </c>
    </row>
    <row r="264" spans="1:11" ht="67.5" customHeight="1" x14ac:dyDescent="0.5">
      <c r="A264" s="288" t="s">
        <v>797</v>
      </c>
      <c r="B264" s="591" t="s">
        <v>915</v>
      </c>
      <c r="C264" s="573" t="s">
        <v>798</v>
      </c>
      <c r="D264" s="295"/>
      <c r="E264" s="542">
        <v>0</v>
      </c>
      <c r="F264" s="543">
        <v>0</v>
      </c>
      <c r="G264" s="544">
        <v>0</v>
      </c>
      <c r="H264" s="542">
        <v>1.5789473684210468E-2</v>
      </c>
      <c r="I264" s="543">
        <v>0</v>
      </c>
      <c r="J264" s="544">
        <v>0</v>
      </c>
      <c r="K264" s="548">
        <v>0.83118365409888006</v>
      </c>
    </row>
    <row r="265" spans="1:11" ht="67.5" customHeight="1" x14ac:dyDescent="0.5">
      <c r="A265" s="292" t="s">
        <v>389</v>
      </c>
      <c r="B265" s="591" t="s">
        <v>915</v>
      </c>
      <c r="C265" s="573" t="s">
        <v>390</v>
      </c>
      <c r="D265" s="295"/>
      <c r="E265" s="542">
        <v>0.75</v>
      </c>
      <c r="F265" s="543">
        <v>1</v>
      </c>
      <c r="G265" s="544">
        <v>1</v>
      </c>
      <c r="H265" s="542">
        <v>1</v>
      </c>
      <c r="I265" s="543">
        <v>1</v>
      </c>
      <c r="J265" s="544">
        <v>1</v>
      </c>
      <c r="K265" s="548">
        <v>0.77216769696941223</v>
      </c>
    </row>
    <row r="266" spans="1:11" ht="67.5" customHeight="1" x14ac:dyDescent="0.5">
      <c r="A266" s="289" t="s">
        <v>741</v>
      </c>
      <c r="B266" s="592" t="s">
        <v>915</v>
      </c>
      <c r="C266" s="552" t="s">
        <v>742</v>
      </c>
      <c r="D266" s="296"/>
      <c r="E266" s="553">
        <v>0.25</v>
      </c>
      <c r="F266" s="554">
        <v>0.5</v>
      </c>
      <c r="G266" s="555">
        <v>0</v>
      </c>
      <c r="H266" s="553">
        <v>0</v>
      </c>
      <c r="I266" s="554">
        <v>0</v>
      </c>
      <c r="J266" s="555">
        <v>0</v>
      </c>
      <c r="K266" s="556">
        <v>6.9605966129282597E-3</v>
      </c>
    </row>
    <row r="267" spans="1:11" ht="67.5" customHeight="1" x14ac:dyDescent="0.5">
      <c r="A267" s="288" t="s">
        <v>877</v>
      </c>
      <c r="B267" s="540" t="s">
        <v>920</v>
      </c>
      <c r="C267" s="541" t="s">
        <v>878</v>
      </c>
      <c r="D267" s="295"/>
      <c r="E267" s="542">
        <v>0</v>
      </c>
      <c r="F267" s="543">
        <v>0</v>
      </c>
      <c r="G267" s="544">
        <v>0</v>
      </c>
      <c r="H267" s="542">
        <v>0</v>
      </c>
      <c r="I267" s="543">
        <v>0</v>
      </c>
      <c r="J267" s="544">
        <v>0</v>
      </c>
      <c r="K267" s="548">
        <v>0</v>
      </c>
    </row>
    <row r="268" spans="1:11" ht="67.5" customHeight="1" x14ac:dyDescent="0.5">
      <c r="A268" s="288" t="s">
        <v>807</v>
      </c>
      <c r="B268" s="540" t="s">
        <v>920</v>
      </c>
      <c r="C268" s="541" t="s">
        <v>808</v>
      </c>
      <c r="D268" s="295"/>
      <c r="E268" s="542">
        <v>0</v>
      </c>
      <c r="F268" s="543">
        <v>0</v>
      </c>
      <c r="G268" s="544">
        <v>0</v>
      </c>
      <c r="H268" s="542">
        <v>1.5789473684210468E-2</v>
      </c>
      <c r="I268" s="543">
        <v>9.7222222222222293E-2</v>
      </c>
      <c r="J268" s="544">
        <v>0.25</v>
      </c>
      <c r="K268" s="548">
        <v>0</v>
      </c>
    </row>
    <row r="269" spans="1:11" ht="67.5" customHeight="1" x14ac:dyDescent="0.5">
      <c r="A269" s="288" t="s">
        <v>666</v>
      </c>
      <c r="B269" s="540" t="s">
        <v>920</v>
      </c>
      <c r="C269" s="541" t="s">
        <v>667</v>
      </c>
      <c r="D269" s="295"/>
      <c r="E269" s="542">
        <v>0.25</v>
      </c>
      <c r="F269" s="543">
        <v>1</v>
      </c>
      <c r="G269" s="544">
        <v>1</v>
      </c>
      <c r="H269" s="542">
        <v>0.31152204836415365</v>
      </c>
      <c r="I269" s="543">
        <v>0.30555555555555547</v>
      </c>
      <c r="J269" s="544">
        <v>0.58333333333333337</v>
      </c>
      <c r="K269" s="548">
        <v>4.37551207144979E-2</v>
      </c>
    </row>
    <row r="270" spans="1:11" ht="67.5" customHeight="1" x14ac:dyDescent="0.5">
      <c r="A270" s="288" t="s">
        <v>787</v>
      </c>
      <c r="B270" s="540" t="s">
        <v>920</v>
      </c>
      <c r="C270" s="541" t="s">
        <v>788</v>
      </c>
      <c r="D270" s="295"/>
      <c r="E270" s="542">
        <v>0</v>
      </c>
      <c r="F270" s="543">
        <v>0</v>
      </c>
      <c r="G270" s="544">
        <v>0</v>
      </c>
      <c r="H270" s="542">
        <v>7.3684210526315755E-2</v>
      </c>
      <c r="I270" s="543">
        <v>9.7222222222222293E-2</v>
      </c>
      <c r="J270" s="544">
        <v>0.33333333333333331</v>
      </c>
      <c r="K270" s="548">
        <v>0</v>
      </c>
    </row>
    <row r="271" spans="1:11" ht="67.5" customHeight="1" x14ac:dyDescent="0.5">
      <c r="A271" s="288" t="s">
        <v>541</v>
      </c>
      <c r="B271" s="540" t="s">
        <v>920</v>
      </c>
      <c r="C271" s="541" t="s">
        <v>542</v>
      </c>
      <c r="D271" s="295"/>
      <c r="E271" s="542">
        <v>1</v>
      </c>
      <c r="F271" s="543">
        <v>1</v>
      </c>
      <c r="G271" s="544">
        <v>1</v>
      </c>
      <c r="H271" s="542">
        <v>0.47894736842105268</v>
      </c>
      <c r="I271" s="543">
        <v>0.58333333333333337</v>
      </c>
      <c r="J271" s="544">
        <v>1</v>
      </c>
      <c r="K271" s="548">
        <v>0.32735599109736507</v>
      </c>
    </row>
    <row r="272" spans="1:11" ht="67.5" customHeight="1" x14ac:dyDescent="0.5">
      <c r="A272" s="288" t="s">
        <v>726</v>
      </c>
      <c r="B272" s="540" t="s">
        <v>920</v>
      </c>
      <c r="C272" s="541" t="s">
        <v>727</v>
      </c>
      <c r="D272" s="295"/>
      <c r="E272" s="542">
        <v>0.25</v>
      </c>
      <c r="F272" s="543">
        <v>0.5</v>
      </c>
      <c r="G272" s="544">
        <v>0.75</v>
      </c>
      <c r="H272" s="542">
        <v>0.12375533428165002</v>
      </c>
      <c r="I272" s="543">
        <v>0.16666666666666677</v>
      </c>
      <c r="J272" s="544">
        <v>0.41666666666666669</v>
      </c>
      <c r="K272" s="548">
        <v>0</v>
      </c>
    </row>
    <row r="273" spans="1:11" ht="67.5" customHeight="1" x14ac:dyDescent="0.5">
      <c r="A273" s="288" t="s">
        <v>192</v>
      </c>
      <c r="B273" s="540" t="s">
        <v>920</v>
      </c>
      <c r="C273" s="541" t="s">
        <v>193</v>
      </c>
      <c r="D273" s="295"/>
      <c r="E273" s="542">
        <v>0</v>
      </c>
      <c r="F273" s="543">
        <v>0</v>
      </c>
      <c r="G273" s="544">
        <v>0</v>
      </c>
      <c r="H273" s="542">
        <v>0.15789473684210514</v>
      </c>
      <c r="I273" s="543">
        <v>0.31249999999999989</v>
      </c>
      <c r="J273" s="544">
        <v>0.3454545454545464</v>
      </c>
      <c r="K273" s="548">
        <v>0</v>
      </c>
    </row>
    <row r="274" spans="1:11" ht="67.5" customHeight="1" x14ac:dyDescent="0.5">
      <c r="A274" s="288" t="s">
        <v>165</v>
      </c>
      <c r="B274" s="540" t="s">
        <v>920</v>
      </c>
      <c r="C274" s="541" t="s">
        <v>166</v>
      </c>
      <c r="D274" s="295"/>
      <c r="E274" s="542">
        <v>0.25</v>
      </c>
      <c r="F274" s="543">
        <v>0</v>
      </c>
      <c r="G274" s="544">
        <v>0</v>
      </c>
      <c r="H274" s="542">
        <v>5.2631578947368286E-2</v>
      </c>
      <c r="I274" s="543">
        <v>0.18749999999999994</v>
      </c>
      <c r="J274" s="544">
        <v>0.12727272727272862</v>
      </c>
      <c r="K274" s="548">
        <v>0</v>
      </c>
    </row>
    <row r="275" spans="1:11" ht="67.5" customHeight="1" x14ac:dyDescent="0.5">
      <c r="A275" s="288" t="s">
        <v>14</v>
      </c>
      <c r="B275" s="540" t="s">
        <v>920</v>
      </c>
      <c r="C275" s="541" t="s">
        <v>15</v>
      </c>
      <c r="D275" s="295"/>
      <c r="E275" s="542">
        <v>0.25</v>
      </c>
      <c r="F275" s="543">
        <v>0</v>
      </c>
      <c r="G275" s="544">
        <v>0</v>
      </c>
      <c r="H275" s="542">
        <v>0.21052631578947378</v>
      </c>
      <c r="I275" s="543">
        <v>0.31249999999999989</v>
      </c>
      <c r="J275" s="544">
        <v>0.41818181818181815</v>
      </c>
      <c r="K275" s="548">
        <v>0</v>
      </c>
    </row>
    <row r="276" spans="1:11" ht="67.5" customHeight="1" x14ac:dyDescent="0.5">
      <c r="A276" s="288" t="s">
        <v>467</v>
      </c>
      <c r="B276" s="540" t="s">
        <v>920</v>
      </c>
      <c r="C276" s="541" t="s">
        <v>468</v>
      </c>
      <c r="D276" s="295"/>
      <c r="E276" s="542">
        <v>0</v>
      </c>
      <c r="F276" s="543">
        <v>0</v>
      </c>
      <c r="G276" s="544">
        <v>0</v>
      </c>
      <c r="H276" s="542">
        <v>0</v>
      </c>
      <c r="I276" s="543">
        <v>2.7777777777777679E-2</v>
      </c>
      <c r="J276" s="544">
        <v>0</v>
      </c>
      <c r="K276" s="548">
        <v>0</v>
      </c>
    </row>
    <row r="277" spans="1:11" ht="67.5" customHeight="1" x14ac:dyDescent="0.5">
      <c r="A277" s="288" t="s">
        <v>75</v>
      </c>
      <c r="B277" s="540" t="s">
        <v>920</v>
      </c>
      <c r="C277" s="541" t="s">
        <v>76</v>
      </c>
      <c r="D277" s="295"/>
      <c r="E277" s="542">
        <v>0.25</v>
      </c>
      <c r="F277" s="543">
        <v>0</v>
      </c>
      <c r="G277" s="544">
        <v>0</v>
      </c>
      <c r="H277" s="542">
        <v>5.2631578947368286E-2</v>
      </c>
      <c r="I277" s="543">
        <v>0</v>
      </c>
      <c r="J277" s="544">
        <v>0</v>
      </c>
      <c r="K277" s="548">
        <v>0</v>
      </c>
    </row>
    <row r="278" spans="1:11" ht="67.5" customHeight="1" x14ac:dyDescent="0.5">
      <c r="A278" s="288" t="s">
        <v>553</v>
      </c>
      <c r="B278" s="540" t="s">
        <v>920</v>
      </c>
      <c r="C278" s="541" t="s">
        <v>554</v>
      </c>
      <c r="D278" s="295"/>
      <c r="E278" s="542">
        <v>0</v>
      </c>
      <c r="F278" s="543">
        <v>0</v>
      </c>
      <c r="G278" s="544">
        <v>0</v>
      </c>
      <c r="H278" s="542">
        <v>0</v>
      </c>
      <c r="I278" s="543">
        <v>0</v>
      </c>
      <c r="J278" s="544">
        <v>0</v>
      </c>
      <c r="K278" s="548">
        <v>0</v>
      </c>
    </row>
    <row r="279" spans="1:11" ht="67.5" customHeight="1" x14ac:dyDescent="0.5">
      <c r="A279" s="288" t="s">
        <v>195</v>
      </c>
      <c r="B279" s="540" t="s">
        <v>920</v>
      </c>
      <c r="C279" s="541" t="s">
        <v>196</v>
      </c>
      <c r="D279" s="295"/>
      <c r="E279" s="542">
        <v>0</v>
      </c>
      <c r="F279" s="543">
        <v>0</v>
      </c>
      <c r="G279" s="544">
        <v>0</v>
      </c>
      <c r="H279" s="542">
        <v>0</v>
      </c>
      <c r="I279" s="543">
        <v>0.25</v>
      </c>
      <c r="J279" s="544">
        <v>0.12727272727272862</v>
      </c>
      <c r="K279" s="548">
        <v>0</v>
      </c>
    </row>
    <row r="280" spans="1:11" ht="67.5" customHeight="1" x14ac:dyDescent="0.5">
      <c r="A280" s="288" t="s">
        <v>423</v>
      </c>
      <c r="B280" s="540" t="s">
        <v>920</v>
      </c>
      <c r="C280" s="541" t="s">
        <v>424</v>
      </c>
      <c r="D280" s="295"/>
      <c r="E280" s="542">
        <v>0</v>
      </c>
      <c r="F280" s="543">
        <v>0</v>
      </c>
      <c r="G280" s="544">
        <v>0</v>
      </c>
      <c r="H280" s="542">
        <v>0</v>
      </c>
      <c r="I280" s="543">
        <v>0</v>
      </c>
      <c r="J280" s="544">
        <v>0</v>
      </c>
      <c r="K280" s="548">
        <v>0</v>
      </c>
    </row>
    <row r="281" spans="1:11" ht="67.5" customHeight="1" x14ac:dyDescent="0.5">
      <c r="A281" s="288" t="s">
        <v>573</v>
      </c>
      <c r="B281" s="540" t="s">
        <v>920</v>
      </c>
      <c r="C281" s="541" t="s">
        <v>574</v>
      </c>
      <c r="D281" s="295"/>
      <c r="E281" s="542">
        <v>0</v>
      </c>
      <c r="F281" s="543">
        <v>0</v>
      </c>
      <c r="G281" s="544">
        <v>0</v>
      </c>
      <c r="H281" s="542">
        <v>0</v>
      </c>
      <c r="I281" s="543">
        <v>0</v>
      </c>
      <c r="J281" s="544">
        <v>0</v>
      </c>
      <c r="K281" s="548">
        <v>0</v>
      </c>
    </row>
    <row r="282" spans="1:11" ht="67.5" customHeight="1" x14ac:dyDescent="0.5">
      <c r="A282" s="290" t="s">
        <v>359</v>
      </c>
      <c r="B282" s="284" t="s">
        <v>921</v>
      </c>
      <c r="C282" s="578" t="s">
        <v>360</v>
      </c>
      <c r="D282" s="299" t="s">
        <v>922</v>
      </c>
      <c r="E282" s="579">
        <v>0.5</v>
      </c>
      <c r="F282" s="580">
        <v>1</v>
      </c>
      <c r="G282" s="581">
        <v>1</v>
      </c>
      <c r="H282" s="579">
        <v>0.88421052631578967</v>
      </c>
      <c r="I282" s="580">
        <v>1</v>
      </c>
      <c r="J282" s="581">
        <v>1</v>
      </c>
      <c r="K282" s="593">
        <v>0.39868076089425375</v>
      </c>
    </row>
    <row r="283" spans="1:11" ht="67.5" customHeight="1" x14ac:dyDescent="0.5">
      <c r="A283" s="288" t="s">
        <v>272</v>
      </c>
      <c r="B283" s="540" t="s">
        <v>916</v>
      </c>
      <c r="C283" s="541" t="s">
        <v>273</v>
      </c>
      <c r="D283" s="295"/>
      <c r="E283" s="542">
        <v>0</v>
      </c>
      <c r="F283" s="543">
        <v>0</v>
      </c>
      <c r="G283" s="544">
        <v>0</v>
      </c>
      <c r="H283" s="542">
        <v>0</v>
      </c>
      <c r="I283" s="543">
        <v>0</v>
      </c>
      <c r="J283" s="544">
        <v>0.11111111111111123</v>
      </c>
      <c r="K283" s="548">
        <v>7.8678147841361221E-2</v>
      </c>
    </row>
    <row r="284" spans="1:11" ht="67.5" customHeight="1" x14ac:dyDescent="0.5">
      <c r="A284" s="288" t="s">
        <v>861</v>
      </c>
      <c r="B284" s="540" t="s">
        <v>916</v>
      </c>
      <c r="C284" s="541" t="s">
        <v>862</v>
      </c>
      <c r="D284" s="295"/>
      <c r="E284" s="542">
        <v>0</v>
      </c>
      <c r="F284" s="543">
        <v>0</v>
      </c>
      <c r="G284" s="544">
        <v>0</v>
      </c>
      <c r="H284" s="542">
        <v>0</v>
      </c>
      <c r="I284" s="543">
        <v>0</v>
      </c>
      <c r="J284" s="544">
        <v>0</v>
      </c>
      <c r="K284" s="548">
        <v>0.67914459884144207</v>
      </c>
    </row>
    <row r="285" spans="1:11" ht="67.5" customHeight="1" x14ac:dyDescent="0.5">
      <c r="A285" s="292" t="s">
        <v>539</v>
      </c>
      <c r="B285" s="540" t="s">
        <v>916</v>
      </c>
      <c r="C285" s="541" t="s">
        <v>540</v>
      </c>
      <c r="D285" s="295"/>
      <c r="E285" s="542">
        <v>1</v>
      </c>
      <c r="F285" s="543">
        <v>1</v>
      </c>
      <c r="G285" s="544">
        <v>1</v>
      </c>
      <c r="H285" s="542">
        <v>1</v>
      </c>
      <c r="I285" s="543">
        <v>1</v>
      </c>
      <c r="J285" s="544">
        <v>1</v>
      </c>
      <c r="K285" s="548">
        <v>0.75295612828560476</v>
      </c>
    </row>
    <row r="286" spans="1:11" ht="67.5" customHeight="1" x14ac:dyDescent="0.5">
      <c r="A286" s="288" t="s">
        <v>519</v>
      </c>
      <c r="B286" s="540" t="s">
        <v>916</v>
      </c>
      <c r="C286" s="541" t="s">
        <v>520</v>
      </c>
      <c r="D286" s="295"/>
      <c r="E286" s="542">
        <v>0.75</v>
      </c>
      <c r="F286" s="543">
        <v>0.75</v>
      </c>
      <c r="G286" s="544">
        <v>1</v>
      </c>
      <c r="H286" s="542">
        <v>0</v>
      </c>
      <c r="I286" s="543">
        <v>0.31249999999999989</v>
      </c>
      <c r="J286" s="544">
        <v>0.40740740740740744</v>
      </c>
      <c r="K286" s="548">
        <v>0.69425196165641645</v>
      </c>
    </row>
    <row r="287" spans="1:11" ht="67.5" customHeight="1" x14ac:dyDescent="0.5">
      <c r="A287" s="288" t="s">
        <v>565</v>
      </c>
      <c r="B287" s="540" t="s">
        <v>916</v>
      </c>
      <c r="C287" s="541" t="s">
        <v>566</v>
      </c>
      <c r="D287" s="295"/>
      <c r="E287" s="542">
        <v>0</v>
      </c>
      <c r="F287" s="543">
        <v>0</v>
      </c>
      <c r="G287" s="544">
        <v>0</v>
      </c>
      <c r="H287" s="542">
        <v>0</v>
      </c>
      <c r="I287" s="543">
        <v>0</v>
      </c>
      <c r="J287" s="544">
        <v>0</v>
      </c>
      <c r="K287" s="548">
        <v>0.13250274420983527</v>
      </c>
    </row>
    <row r="288" spans="1:11" ht="67.5" customHeight="1" x14ac:dyDescent="0.5">
      <c r="A288" s="288" t="s">
        <v>771</v>
      </c>
      <c r="B288" s="540" t="s">
        <v>916</v>
      </c>
      <c r="C288" s="541" t="s">
        <v>772</v>
      </c>
      <c r="D288" s="295"/>
      <c r="E288" s="542">
        <v>0</v>
      </c>
      <c r="F288" s="543">
        <v>0</v>
      </c>
      <c r="G288" s="544">
        <v>0</v>
      </c>
      <c r="H288" s="542">
        <v>0</v>
      </c>
      <c r="I288" s="543">
        <v>0</v>
      </c>
      <c r="J288" s="544">
        <v>0</v>
      </c>
      <c r="K288" s="548">
        <v>9.4434651888783652E-2</v>
      </c>
    </row>
    <row r="289" spans="1:11" ht="67.5" customHeight="1" x14ac:dyDescent="0.5">
      <c r="A289" s="288" t="s">
        <v>87</v>
      </c>
      <c r="B289" s="540" t="s">
        <v>916</v>
      </c>
      <c r="C289" s="541" t="s">
        <v>88</v>
      </c>
      <c r="D289" s="295"/>
      <c r="E289" s="542">
        <v>0</v>
      </c>
      <c r="F289" s="543">
        <v>0.25</v>
      </c>
      <c r="G289" s="544">
        <v>0</v>
      </c>
      <c r="H289" s="542">
        <v>5.2631578947368286E-2</v>
      </c>
      <c r="I289" s="543">
        <v>0</v>
      </c>
      <c r="J289" s="544">
        <v>0</v>
      </c>
      <c r="K289" s="548">
        <v>0.14442539862926171</v>
      </c>
    </row>
    <row r="290" spans="1:11" ht="67.5" customHeight="1" x14ac:dyDescent="0.5">
      <c r="A290" s="288" t="s">
        <v>445</v>
      </c>
      <c r="B290" s="540" t="s">
        <v>916</v>
      </c>
      <c r="C290" s="541" t="s">
        <v>446</v>
      </c>
      <c r="D290" s="295"/>
      <c r="E290" s="542">
        <v>0</v>
      </c>
      <c r="F290" s="543">
        <v>0</v>
      </c>
      <c r="G290" s="544">
        <v>0</v>
      </c>
      <c r="H290" s="542">
        <v>7.3684210526315755E-2</v>
      </c>
      <c r="I290" s="543">
        <v>0</v>
      </c>
      <c r="J290" s="544">
        <v>0</v>
      </c>
      <c r="K290" s="548">
        <v>0</v>
      </c>
    </row>
    <row r="291" spans="1:11" ht="67.5" customHeight="1" x14ac:dyDescent="0.5">
      <c r="A291" s="288" t="s">
        <v>204</v>
      </c>
      <c r="B291" s="540" t="s">
        <v>916</v>
      </c>
      <c r="C291" s="541" t="s">
        <v>205</v>
      </c>
      <c r="D291" s="295"/>
      <c r="E291" s="542">
        <v>0.5</v>
      </c>
      <c r="F291" s="543">
        <v>0</v>
      </c>
      <c r="G291" s="544">
        <v>0</v>
      </c>
      <c r="H291" s="542">
        <v>0</v>
      </c>
      <c r="I291" s="543">
        <v>0</v>
      </c>
      <c r="J291" s="544">
        <v>0</v>
      </c>
      <c r="K291" s="548">
        <v>1.4197109797394443E-2</v>
      </c>
    </row>
    <row r="292" spans="1:11" ht="67.5" customHeight="1" x14ac:dyDescent="0.5">
      <c r="A292" s="288" t="s">
        <v>373</v>
      </c>
      <c r="B292" s="540" t="s">
        <v>916</v>
      </c>
      <c r="C292" s="541" t="s">
        <v>374</v>
      </c>
      <c r="D292" s="295"/>
      <c r="E292" s="542">
        <v>0.25</v>
      </c>
      <c r="F292" s="543">
        <v>0</v>
      </c>
      <c r="G292" s="544">
        <v>0</v>
      </c>
      <c r="H292" s="542">
        <v>7.3684210526315755E-2</v>
      </c>
      <c r="I292" s="543">
        <v>0</v>
      </c>
      <c r="J292" s="544">
        <v>0.11111111111111123</v>
      </c>
      <c r="K292" s="548">
        <v>5.1205613005742674E-2</v>
      </c>
    </row>
    <row r="293" spans="1:11" ht="67.5" customHeight="1" x14ac:dyDescent="0.5">
      <c r="A293" s="288" t="s">
        <v>147</v>
      </c>
      <c r="B293" s="540" t="s">
        <v>916</v>
      </c>
      <c r="C293" s="541" t="s">
        <v>148</v>
      </c>
      <c r="D293" s="295"/>
      <c r="E293" s="542">
        <v>0</v>
      </c>
      <c r="F293" s="543">
        <v>0</v>
      </c>
      <c r="G293" s="544">
        <v>0</v>
      </c>
      <c r="H293" s="542">
        <v>0</v>
      </c>
      <c r="I293" s="543">
        <v>0</v>
      </c>
      <c r="J293" s="544">
        <v>0</v>
      </c>
      <c r="K293" s="548">
        <v>0</v>
      </c>
    </row>
    <row r="294" spans="1:11" ht="67.5" customHeight="1" x14ac:dyDescent="0.5">
      <c r="A294" s="292" t="s">
        <v>66</v>
      </c>
      <c r="B294" s="540" t="s">
        <v>916</v>
      </c>
      <c r="C294" s="541" t="s">
        <v>67</v>
      </c>
      <c r="D294" s="295"/>
      <c r="E294" s="542">
        <v>0</v>
      </c>
      <c r="F294" s="543">
        <v>1</v>
      </c>
      <c r="G294" s="544">
        <v>1</v>
      </c>
      <c r="H294" s="542">
        <v>0</v>
      </c>
      <c r="I294" s="543">
        <v>6.2499999999999986E-2</v>
      </c>
      <c r="J294" s="544">
        <v>0.92727272727272725</v>
      </c>
      <c r="K294" s="548">
        <v>0.92485922417565869</v>
      </c>
    </row>
    <row r="295" spans="1:11" ht="67.5" customHeight="1" x14ac:dyDescent="0.5">
      <c r="A295" s="288" t="s">
        <v>857</v>
      </c>
      <c r="B295" s="540" t="s">
        <v>916</v>
      </c>
      <c r="C295" s="541" t="s">
        <v>858</v>
      </c>
      <c r="D295" s="295"/>
      <c r="E295" s="542">
        <v>0</v>
      </c>
      <c r="F295" s="543">
        <v>0</v>
      </c>
      <c r="G295" s="544">
        <v>0</v>
      </c>
      <c r="H295" s="542">
        <v>0</v>
      </c>
      <c r="I295" s="543">
        <v>0</v>
      </c>
      <c r="J295" s="544">
        <v>0</v>
      </c>
      <c r="K295" s="548">
        <v>0</v>
      </c>
    </row>
    <row r="296" spans="1:11" ht="67.5" customHeight="1" x14ac:dyDescent="0.5">
      <c r="A296" s="292" t="s">
        <v>835</v>
      </c>
      <c r="B296" s="540" t="s">
        <v>916</v>
      </c>
      <c r="C296" s="541" t="s">
        <v>836</v>
      </c>
      <c r="D296" s="295"/>
      <c r="E296" s="542">
        <v>1</v>
      </c>
      <c r="F296" s="543">
        <v>1</v>
      </c>
      <c r="G296" s="544">
        <v>1</v>
      </c>
      <c r="H296" s="542">
        <v>1</v>
      </c>
      <c r="I296" s="543">
        <v>1</v>
      </c>
      <c r="J296" s="544">
        <v>1</v>
      </c>
      <c r="K296" s="548">
        <v>0.86379720737289112</v>
      </c>
    </row>
    <row r="297" spans="1:11" ht="67.5" customHeight="1" x14ac:dyDescent="0.5">
      <c r="A297" s="288" t="s">
        <v>853</v>
      </c>
      <c r="B297" s="540" t="s">
        <v>916</v>
      </c>
      <c r="C297" s="541" t="s">
        <v>854</v>
      </c>
      <c r="D297" s="295"/>
      <c r="E297" s="542">
        <v>0</v>
      </c>
      <c r="F297" s="543">
        <v>0</v>
      </c>
      <c r="G297" s="544">
        <v>0</v>
      </c>
      <c r="H297" s="542">
        <v>7.3684210526315755E-2</v>
      </c>
      <c r="I297" s="543">
        <v>9.7222222222222293E-2</v>
      </c>
      <c r="J297" s="544">
        <v>0.16666666666666666</v>
      </c>
      <c r="K297" s="548">
        <v>0</v>
      </c>
    </row>
    <row r="298" spans="1:11" ht="67.5" customHeight="1" x14ac:dyDescent="0.5">
      <c r="A298" s="288" t="s">
        <v>799</v>
      </c>
      <c r="B298" s="540" t="s">
        <v>916</v>
      </c>
      <c r="C298" s="541" t="s">
        <v>800</v>
      </c>
      <c r="D298" s="295"/>
      <c r="E298" s="542">
        <v>0</v>
      </c>
      <c r="F298" s="543">
        <v>0</v>
      </c>
      <c r="G298" s="544">
        <v>0.25</v>
      </c>
      <c r="H298" s="542">
        <v>0.13157894736842102</v>
      </c>
      <c r="I298" s="543">
        <v>0.23611111111111102</v>
      </c>
      <c r="J298" s="544">
        <v>0.33333333333333331</v>
      </c>
      <c r="K298" s="548">
        <v>0</v>
      </c>
    </row>
    <row r="299" spans="1:11" ht="67.5" customHeight="1" x14ac:dyDescent="0.5">
      <c r="A299" s="288" t="s">
        <v>237</v>
      </c>
      <c r="B299" s="540" t="s">
        <v>916</v>
      </c>
      <c r="C299" s="541" t="s">
        <v>238</v>
      </c>
      <c r="D299" s="295"/>
      <c r="E299" s="542">
        <v>0</v>
      </c>
      <c r="F299" s="543">
        <v>0</v>
      </c>
      <c r="G299" s="544">
        <v>0</v>
      </c>
      <c r="H299" s="542">
        <v>5.2631578947368286E-2</v>
      </c>
      <c r="I299" s="543">
        <v>0.18749999999999994</v>
      </c>
      <c r="J299" s="544">
        <v>0.12727272727272862</v>
      </c>
      <c r="K299" s="548">
        <v>0</v>
      </c>
    </row>
    <row r="300" spans="1:11" ht="67.5" customHeight="1" x14ac:dyDescent="0.5">
      <c r="A300" s="288" t="s">
        <v>847</v>
      </c>
      <c r="B300" s="540" t="s">
        <v>916</v>
      </c>
      <c r="C300" s="541" t="s">
        <v>848</v>
      </c>
      <c r="D300" s="295"/>
      <c r="E300" s="542">
        <v>0</v>
      </c>
      <c r="F300" s="543">
        <v>0</v>
      </c>
      <c r="G300" s="544">
        <v>0</v>
      </c>
      <c r="H300" s="542">
        <v>0.13157894736842102</v>
      </c>
      <c r="I300" s="543">
        <v>2.7777777777777679E-2</v>
      </c>
      <c r="J300" s="544">
        <v>0.25</v>
      </c>
      <c r="K300" s="548">
        <v>0</v>
      </c>
    </row>
    <row r="301" spans="1:11" ht="67.5" customHeight="1" x14ac:dyDescent="0.5">
      <c r="A301" s="292" t="s">
        <v>849</v>
      </c>
      <c r="B301" s="540" t="s">
        <v>916</v>
      </c>
      <c r="C301" s="541" t="s">
        <v>850</v>
      </c>
      <c r="D301" s="295"/>
      <c r="E301" s="542">
        <v>1</v>
      </c>
      <c r="F301" s="543">
        <v>1</v>
      </c>
      <c r="G301" s="544">
        <v>1</v>
      </c>
      <c r="H301" s="542">
        <v>1</v>
      </c>
      <c r="I301" s="543">
        <v>1</v>
      </c>
      <c r="J301" s="544">
        <v>1</v>
      </c>
      <c r="K301" s="548">
        <v>0.83400102743649718</v>
      </c>
    </row>
    <row r="302" spans="1:11" ht="67.5" customHeight="1" x14ac:dyDescent="0.5">
      <c r="A302" s="288" t="s">
        <v>889</v>
      </c>
      <c r="B302" s="540" t="s">
        <v>916</v>
      </c>
      <c r="C302" s="541" t="s">
        <v>890</v>
      </c>
      <c r="D302" s="295"/>
      <c r="E302" s="542">
        <v>0</v>
      </c>
      <c r="F302" s="543">
        <v>0</v>
      </c>
      <c r="G302" s="544">
        <v>0</v>
      </c>
      <c r="H302" s="542">
        <v>1.5789473684210468E-2</v>
      </c>
      <c r="I302" s="543">
        <v>5.4054054054054022E-2</v>
      </c>
      <c r="J302" s="544">
        <v>0.43434343434343442</v>
      </c>
      <c r="K302" s="548">
        <v>0</v>
      </c>
    </row>
    <row r="303" spans="1:11" ht="67.5" customHeight="1" x14ac:dyDescent="0.5">
      <c r="A303" s="292" t="s">
        <v>243</v>
      </c>
      <c r="B303" s="540" t="s">
        <v>916</v>
      </c>
      <c r="C303" s="541" t="s">
        <v>244</v>
      </c>
      <c r="D303" s="295"/>
      <c r="E303" s="542">
        <v>0.5</v>
      </c>
      <c r="F303" s="543">
        <v>1</v>
      </c>
      <c r="G303" s="544">
        <v>1</v>
      </c>
      <c r="H303" s="542">
        <v>1</v>
      </c>
      <c r="I303" s="543">
        <v>1</v>
      </c>
      <c r="J303" s="544">
        <v>1</v>
      </c>
      <c r="K303" s="548">
        <v>0.82628802808543989</v>
      </c>
    </row>
    <row r="304" spans="1:11" ht="67.5" customHeight="1" x14ac:dyDescent="0.5">
      <c r="A304" s="288" t="s">
        <v>895</v>
      </c>
      <c r="B304" s="540" t="s">
        <v>916</v>
      </c>
      <c r="C304" s="541" t="s">
        <v>896</v>
      </c>
      <c r="D304" s="295"/>
      <c r="E304" s="542">
        <v>0</v>
      </c>
      <c r="F304" s="543">
        <v>0.25</v>
      </c>
      <c r="G304" s="544">
        <v>0.25</v>
      </c>
      <c r="H304" s="542">
        <v>1</v>
      </c>
      <c r="I304" s="543">
        <v>1</v>
      </c>
      <c r="J304" s="544">
        <v>1</v>
      </c>
      <c r="K304" s="548">
        <v>8.9240279616416285E-2</v>
      </c>
    </row>
    <row r="305" spans="1:11" ht="67.5" customHeight="1" x14ac:dyDescent="0.5">
      <c r="A305" s="288" t="s">
        <v>138</v>
      </c>
      <c r="B305" s="540" t="s">
        <v>916</v>
      </c>
      <c r="C305" s="541" t="s">
        <v>139</v>
      </c>
      <c r="D305" s="295"/>
      <c r="E305" s="542">
        <v>0</v>
      </c>
      <c r="F305" s="543">
        <v>0</v>
      </c>
      <c r="G305" s="544">
        <v>0</v>
      </c>
      <c r="H305" s="542">
        <v>5.2631578947368286E-2</v>
      </c>
      <c r="I305" s="543">
        <v>0.31249999999999989</v>
      </c>
      <c r="J305" s="544">
        <v>0.27272727272727382</v>
      </c>
      <c r="K305" s="548">
        <v>0</v>
      </c>
    </row>
    <row r="306" spans="1:11" ht="67.5" customHeight="1" x14ac:dyDescent="0.5">
      <c r="A306" s="288" t="s">
        <v>795</v>
      </c>
      <c r="B306" s="540" t="s">
        <v>916</v>
      </c>
      <c r="C306" s="541" t="s">
        <v>796</v>
      </c>
      <c r="D306" s="295"/>
      <c r="E306" s="542">
        <v>0</v>
      </c>
      <c r="F306" s="543">
        <v>0</v>
      </c>
      <c r="G306" s="544">
        <v>0</v>
      </c>
      <c r="H306" s="542">
        <v>0</v>
      </c>
      <c r="I306" s="543">
        <v>0</v>
      </c>
      <c r="J306" s="544">
        <v>8.3333333333333329E-2</v>
      </c>
      <c r="K306" s="548">
        <v>6.1694902183567657E-2</v>
      </c>
    </row>
    <row r="307" spans="1:11" ht="67.5" customHeight="1" x14ac:dyDescent="0.5">
      <c r="A307" s="288" t="s">
        <v>108</v>
      </c>
      <c r="B307" s="540" t="s">
        <v>916</v>
      </c>
      <c r="C307" s="541" t="s">
        <v>109</v>
      </c>
      <c r="D307" s="295"/>
      <c r="E307" s="542">
        <v>0.25</v>
      </c>
      <c r="F307" s="543">
        <v>1</v>
      </c>
      <c r="G307" s="544">
        <v>1</v>
      </c>
      <c r="H307" s="542">
        <v>0.15789473684210514</v>
      </c>
      <c r="I307" s="543">
        <v>0.5625</v>
      </c>
      <c r="J307" s="544">
        <v>0.56363636363636438</v>
      </c>
      <c r="K307" s="548">
        <v>0.71222498746189755</v>
      </c>
    </row>
    <row r="308" spans="1:11" ht="67.5" customHeight="1" x14ac:dyDescent="0.5">
      <c r="A308" s="288" t="s">
        <v>180</v>
      </c>
      <c r="B308" s="540" t="s">
        <v>916</v>
      </c>
      <c r="C308" s="541" t="s">
        <v>181</v>
      </c>
      <c r="D308" s="295"/>
      <c r="E308" s="542">
        <v>0</v>
      </c>
      <c r="F308" s="543">
        <v>0</v>
      </c>
      <c r="G308" s="544">
        <v>0</v>
      </c>
      <c r="H308" s="542">
        <v>5.2631578947368286E-2</v>
      </c>
      <c r="I308" s="543">
        <v>0</v>
      </c>
      <c r="J308" s="544">
        <v>0</v>
      </c>
      <c r="K308" s="548">
        <v>0</v>
      </c>
    </row>
    <row r="309" spans="1:11" ht="67.5" customHeight="1" x14ac:dyDescent="0.5">
      <c r="A309" s="288" t="s">
        <v>99</v>
      </c>
      <c r="B309" s="540" t="s">
        <v>916</v>
      </c>
      <c r="C309" s="541" t="s">
        <v>100</v>
      </c>
      <c r="D309" s="295"/>
      <c r="E309" s="542">
        <v>0</v>
      </c>
      <c r="F309" s="543">
        <v>0</v>
      </c>
      <c r="G309" s="544">
        <v>0</v>
      </c>
      <c r="H309" s="542">
        <v>5.2631578947368286E-2</v>
      </c>
      <c r="I309" s="543">
        <v>0</v>
      </c>
      <c r="J309" s="544">
        <v>0</v>
      </c>
      <c r="K309" s="548">
        <v>0</v>
      </c>
    </row>
    <row r="310" spans="1:11" ht="67.5" customHeight="1" x14ac:dyDescent="0.5">
      <c r="A310" s="292" t="s">
        <v>123</v>
      </c>
      <c r="B310" s="540" t="s">
        <v>916</v>
      </c>
      <c r="C310" s="541" t="s">
        <v>124</v>
      </c>
      <c r="D310" s="295"/>
      <c r="E310" s="542">
        <v>0.5</v>
      </c>
      <c r="F310" s="543">
        <v>1</v>
      </c>
      <c r="G310" s="544">
        <v>1</v>
      </c>
      <c r="H310" s="542">
        <v>5.2631578947368286E-2</v>
      </c>
      <c r="I310" s="543">
        <v>1</v>
      </c>
      <c r="J310" s="544">
        <v>1</v>
      </c>
      <c r="K310" s="548">
        <v>0.7663650315598074</v>
      </c>
    </row>
    <row r="311" spans="1:11" ht="67.5" customHeight="1" x14ac:dyDescent="0.5">
      <c r="A311" s="288" t="s">
        <v>815</v>
      </c>
      <c r="B311" s="540" t="s">
        <v>916</v>
      </c>
      <c r="C311" s="541" t="s">
        <v>816</v>
      </c>
      <c r="D311" s="295"/>
      <c r="E311" s="542">
        <v>0</v>
      </c>
      <c r="F311" s="543">
        <v>0</v>
      </c>
      <c r="G311" s="544">
        <v>0</v>
      </c>
      <c r="H311" s="542">
        <v>7.3684210526315755E-2</v>
      </c>
      <c r="I311" s="543">
        <v>0</v>
      </c>
      <c r="J311" s="544">
        <v>0</v>
      </c>
      <c r="K311" s="548">
        <v>0</v>
      </c>
    </row>
    <row r="312" spans="1:11" ht="67.5" customHeight="1" x14ac:dyDescent="0.5">
      <c r="A312" s="288" t="s">
        <v>333</v>
      </c>
      <c r="B312" s="540" t="s">
        <v>916</v>
      </c>
      <c r="C312" s="541" t="s">
        <v>334</v>
      </c>
      <c r="D312" s="295"/>
      <c r="E312" s="542">
        <v>0</v>
      </c>
      <c r="F312" s="543">
        <v>0</v>
      </c>
      <c r="G312" s="544">
        <v>0</v>
      </c>
      <c r="H312" s="542">
        <v>0</v>
      </c>
      <c r="I312" s="543">
        <v>0</v>
      </c>
      <c r="J312" s="544">
        <v>0</v>
      </c>
      <c r="K312" s="548">
        <v>0</v>
      </c>
    </row>
    <row r="313" spans="1:11" ht="67.5" customHeight="1" x14ac:dyDescent="0.5">
      <c r="A313" s="292" t="s">
        <v>168</v>
      </c>
      <c r="B313" s="540" t="s">
        <v>916</v>
      </c>
      <c r="C313" s="541" t="s">
        <v>169</v>
      </c>
      <c r="D313" s="295"/>
      <c r="E313" s="542">
        <v>1</v>
      </c>
      <c r="F313" s="543">
        <v>1</v>
      </c>
      <c r="G313" s="544">
        <v>1</v>
      </c>
      <c r="H313" s="542">
        <v>1</v>
      </c>
      <c r="I313" s="543">
        <v>1</v>
      </c>
      <c r="J313" s="544">
        <v>1</v>
      </c>
      <c r="K313" s="548">
        <v>0.89851385118431826</v>
      </c>
    </row>
    <row r="314" spans="1:11" ht="67.5" customHeight="1" x14ac:dyDescent="0.5">
      <c r="A314" s="288" t="s">
        <v>57</v>
      </c>
      <c r="B314" s="540" t="s">
        <v>916</v>
      </c>
      <c r="C314" s="541" t="s">
        <v>58</v>
      </c>
      <c r="D314" s="295"/>
      <c r="E314" s="542">
        <v>0</v>
      </c>
      <c r="F314" s="543">
        <v>0</v>
      </c>
      <c r="G314" s="544">
        <v>0</v>
      </c>
      <c r="H314" s="542">
        <v>0</v>
      </c>
      <c r="I314" s="543">
        <v>6.2499999999999986E-2</v>
      </c>
      <c r="J314" s="544">
        <v>0</v>
      </c>
      <c r="K314" s="548">
        <v>0</v>
      </c>
    </row>
    <row r="315" spans="1:11" ht="67.5" customHeight="1" x14ac:dyDescent="0.5">
      <c r="A315" s="288" t="s">
        <v>96</v>
      </c>
      <c r="B315" s="540" t="s">
        <v>916</v>
      </c>
      <c r="C315" s="541" t="s">
        <v>97</v>
      </c>
      <c r="D315" s="295"/>
      <c r="E315" s="542">
        <v>0</v>
      </c>
      <c r="F315" s="543">
        <v>0</v>
      </c>
      <c r="G315" s="544">
        <v>0</v>
      </c>
      <c r="H315" s="542">
        <v>5.2631578947368286E-2</v>
      </c>
      <c r="I315" s="543">
        <v>0</v>
      </c>
      <c r="J315" s="544">
        <v>0</v>
      </c>
      <c r="K315" s="548">
        <v>0</v>
      </c>
    </row>
    <row r="316" spans="1:11" ht="67.5" customHeight="1" x14ac:dyDescent="0.5">
      <c r="A316" s="288" t="s">
        <v>63</v>
      </c>
      <c r="B316" s="540" t="s">
        <v>916</v>
      </c>
      <c r="C316" s="541" t="s">
        <v>64</v>
      </c>
      <c r="D316" s="295"/>
      <c r="E316" s="542">
        <v>0.75</v>
      </c>
      <c r="F316" s="543">
        <v>0.5</v>
      </c>
      <c r="G316" s="544">
        <v>1</v>
      </c>
      <c r="H316" s="542">
        <v>1</v>
      </c>
      <c r="I316" s="543">
        <v>1</v>
      </c>
      <c r="J316" s="544">
        <v>1</v>
      </c>
      <c r="K316" s="548">
        <v>0</v>
      </c>
    </row>
    <row r="317" spans="1:11" ht="67.5" customHeight="1" x14ac:dyDescent="0.5">
      <c r="A317" s="288" t="s">
        <v>183</v>
      </c>
      <c r="B317" s="540" t="s">
        <v>916</v>
      </c>
      <c r="C317" s="541" t="s">
        <v>184</v>
      </c>
      <c r="D317" s="295"/>
      <c r="E317" s="542">
        <v>0.5</v>
      </c>
      <c r="F317" s="543">
        <v>0</v>
      </c>
      <c r="G317" s="544">
        <v>0.25</v>
      </c>
      <c r="H317" s="542">
        <v>0.15789473684210514</v>
      </c>
      <c r="I317" s="543">
        <v>0.37499999999999994</v>
      </c>
      <c r="J317" s="544">
        <v>0.2000000000000012</v>
      </c>
      <c r="K317" s="548">
        <v>0.16654316808163455</v>
      </c>
    </row>
    <row r="318" spans="1:11" ht="67.5" customHeight="1" x14ac:dyDescent="0.5">
      <c r="A318" s="288" t="s">
        <v>129</v>
      </c>
      <c r="B318" s="540" t="s">
        <v>916</v>
      </c>
      <c r="C318" s="541" t="s">
        <v>130</v>
      </c>
      <c r="D318" s="295"/>
      <c r="E318" s="542">
        <v>0</v>
      </c>
      <c r="F318" s="543">
        <v>0</v>
      </c>
      <c r="G318" s="544">
        <v>0</v>
      </c>
      <c r="H318" s="542">
        <v>0</v>
      </c>
      <c r="I318" s="543">
        <v>0</v>
      </c>
      <c r="J318" s="544">
        <v>0</v>
      </c>
      <c r="K318" s="548">
        <v>0.19889034032662972</v>
      </c>
    </row>
    <row r="319" spans="1:11" ht="67.5" customHeight="1" x14ac:dyDescent="0.5">
      <c r="A319" s="288" t="s">
        <v>714</v>
      </c>
      <c r="B319" s="540" t="s">
        <v>916</v>
      </c>
      <c r="C319" s="541" t="s">
        <v>715</v>
      </c>
      <c r="D319" s="295"/>
      <c r="E319" s="542">
        <v>0.5</v>
      </c>
      <c r="F319" s="543">
        <v>0</v>
      </c>
      <c r="G319" s="544">
        <v>1</v>
      </c>
      <c r="H319" s="542">
        <v>0.18634423897581784</v>
      </c>
      <c r="I319" s="543">
        <v>0.37499999999999994</v>
      </c>
      <c r="J319" s="544">
        <v>0.5</v>
      </c>
      <c r="K319" s="548">
        <v>0.27980614456610581</v>
      </c>
    </row>
    <row r="320" spans="1:11" ht="67.5" customHeight="1" x14ac:dyDescent="0.5">
      <c r="A320" s="288" t="s">
        <v>39</v>
      </c>
      <c r="B320" s="540" t="s">
        <v>916</v>
      </c>
      <c r="C320" s="541" t="s">
        <v>40</v>
      </c>
      <c r="D320" s="295"/>
      <c r="E320" s="542">
        <v>0</v>
      </c>
      <c r="F320" s="543">
        <v>0</v>
      </c>
      <c r="G320" s="544">
        <v>0.25</v>
      </c>
      <c r="H320" s="542">
        <v>1</v>
      </c>
      <c r="I320" s="543">
        <v>1</v>
      </c>
      <c r="J320" s="544">
        <v>1</v>
      </c>
      <c r="K320" s="548">
        <v>0.902782675872006</v>
      </c>
    </row>
    <row r="321" spans="1:11" ht="67.5" customHeight="1" x14ac:dyDescent="0.5">
      <c r="A321" s="288" t="s">
        <v>150</v>
      </c>
      <c r="B321" s="540" t="s">
        <v>916</v>
      </c>
      <c r="C321" s="541" t="s">
        <v>151</v>
      </c>
      <c r="D321" s="295"/>
      <c r="E321" s="542">
        <v>0</v>
      </c>
      <c r="F321" s="543">
        <v>0</v>
      </c>
      <c r="G321" s="544">
        <v>0</v>
      </c>
      <c r="H321" s="542">
        <v>0</v>
      </c>
      <c r="I321" s="543">
        <v>0.12499999999999997</v>
      </c>
      <c r="J321" s="544">
        <v>0.2000000000000012</v>
      </c>
      <c r="K321" s="548">
        <v>0</v>
      </c>
    </row>
    <row r="322" spans="1:11" ht="67.5" customHeight="1" x14ac:dyDescent="0.5">
      <c r="A322" s="288" t="s">
        <v>93</v>
      </c>
      <c r="B322" s="540" t="s">
        <v>916</v>
      </c>
      <c r="C322" s="541" t="s">
        <v>94</v>
      </c>
      <c r="D322" s="295"/>
      <c r="E322" s="542">
        <v>0</v>
      </c>
      <c r="F322" s="543">
        <v>0</v>
      </c>
      <c r="G322" s="544">
        <v>0</v>
      </c>
      <c r="H322" s="542">
        <v>5.2631578947368286E-2</v>
      </c>
      <c r="I322" s="543">
        <v>0</v>
      </c>
      <c r="J322" s="544">
        <v>0</v>
      </c>
      <c r="K322" s="548">
        <v>5.8264204098961443E-2</v>
      </c>
    </row>
    <row r="323" spans="1:11" ht="67.5" customHeight="1" x14ac:dyDescent="0.5">
      <c r="A323" s="288" t="s">
        <v>126</v>
      </c>
      <c r="B323" s="540" t="s">
        <v>916</v>
      </c>
      <c r="C323" s="541" t="s">
        <v>127</v>
      </c>
      <c r="D323" s="295"/>
      <c r="E323" s="542">
        <v>0</v>
      </c>
      <c r="F323" s="543">
        <v>0</v>
      </c>
      <c r="G323" s="544">
        <v>0</v>
      </c>
      <c r="H323" s="542">
        <v>0</v>
      </c>
      <c r="I323" s="543">
        <v>0</v>
      </c>
      <c r="J323" s="544">
        <v>0</v>
      </c>
      <c r="K323" s="548">
        <v>8.3839909835634902E-3</v>
      </c>
    </row>
    <row r="324" spans="1:11" ht="67.5" customHeight="1" x14ac:dyDescent="0.5">
      <c r="A324" s="288" t="s">
        <v>156</v>
      </c>
      <c r="B324" s="540" t="s">
        <v>916</v>
      </c>
      <c r="C324" s="541" t="s">
        <v>157</v>
      </c>
      <c r="D324" s="295"/>
      <c r="E324" s="542">
        <v>0</v>
      </c>
      <c r="F324" s="543">
        <v>0</v>
      </c>
      <c r="G324" s="544">
        <v>0</v>
      </c>
      <c r="H324" s="542">
        <v>0</v>
      </c>
      <c r="I324" s="543">
        <v>0</v>
      </c>
      <c r="J324" s="544">
        <v>0</v>
      </c>
      <c r="K324" s="548">
        <v>0</v>
      </c>
    </row>
    <row r="325" spans="1:11" ht="67.5" customHeight="1" x14ac:dyDescent="0.5">
      <c r="A325" s="288" t="s">
        <v>36</v>
      </c>
      <c r="B325" s="540" t="s">
        <v>916</v>
      </c>
      <c r="C325" s="541" t="s">
        <v>37</v>
      </c>
      <c r="D325" s="295"/>
      <c r="E325" s="542">
        <v>0</v>
      </c>
      <c r="F325" s="543">
        <v>0</v>
      </c>
      <c r="G325" s="544">
        <v>0</v>
      </c>
      <c r="H325" s="542">
        <v>0</v>
      </c>
      <c r="I325" s="543">
        <v>6.2499999999999986E-2</v>
      </c>
      <c r="J325" s="544">
        <v>0</v>
      </c>
      <c r="K325" s="548">
        <v>0</v>
      </c>
    </row>
    <row r="326" spans="1:11" ht="67.5" customHeight="1" x14ac:dyDescent="0.5">
      <c r="A326" s="288" t="s">
        <v>186</v>
      </c>
      <c r="B326" s="540" t="s">
        <v>916</v>
      </c>
      <c r="C326" s="541" t="s">
        <v>187</v>
      </c>
      <c r="D326" s="295"/>
      <c r="E326" s="542">
        <v>0.25</v>
      </c>
      <c r="F326" s="543">
        <v>0.25</v>
      </c>
      <c r="G326" s="544">
        <v>0</v>
      </c>
      <c r="H326" s="542">
        <v>5.2631578947368286E-2</v>
      </c>
      <c r="I326" s="543">
        <v>0.12499999999999997</v>
      </c>
      <c r="J326" s="544">
        <v>5.4545454545456083E-2</v>
      </c>
      <c r="K326" s="548">
        <v>0</v>
      </c>
    </row>
    <row r="327" spans="1:11" ht="67.5" customHeight="1" x14ac:dyDescent="0.5">
      <c r="A327" s="288" t="s">
        <v>739</v>
      </c>
      <c r="B327" s="540" t="s">
        <v>916</v>
      </c>
      <c r="C327" s="541" t="s">
        <v>740</v>
      </c>
      <c r="D327" s="295"/>
      <c r="E327" s="542">
        <v>0</v>
      </c>
      <c r="F327" s="543">
        <v>0</v>
      </c>
      <c r="G327" s="544">
        <v>0</v>
      </c>
      <c r="H327" s="542">
        <v>0</v>
      </c>
      <c r="I327" s="543">
        <v>0</v>
      </c>
      <c r="J327" s="544">
        <v>0</v>
      </c>
      <c r="K327" s="548">
        <v>0.18804821504148386</v>
      </c>
    </row>
    <row r="328" spans="1:11" ht="67.5" customHeight="1" x14ac:dyDescent="0.5">
      <c r="A328" s="288" t="s">
        <v>759</v>
      </c>
      <c r="B328" s="540" t="s">
        <v>916</v>
      </c>
      <c r="C328" s="541" t="s">
        <v>760</v>
      </c>
      <c r="D328" s="295"/>
      <c r="E328" s="542">
        <v>0</v>
      </c>
      <c r="F328" s="543">
        <v>0</v>
      </c>
      <c r="G328" s="544">
        <v>0</v>
      </c>
      <c r="H328" s="542">
        <v>0</v>
      </c>
      <c r="I328" s="543">
        <v>0</v>
      </c>
      <c r="J328" s="544">
        <v>0</v>
      </c>
      <c r="K328" s="548">
        <v>0.20913241812968603</v>
      </c>
    </row>
    <row r="329" spans="1:11" ht="67.5" customHeight="1" x14ac:dyDescent="0.5">
      <c r="A329" s="288" t="s">
        <v>779</v>
      </c>
      <c r="B329" s="540" t="s">
        <v>916</v>
      </c>
      <c r="C329" s="541" t="s">
        <v>780</v>
      </c>
      <c r="D329" s="295"/>
      <c r="E329" s="542">
        <v>0.5</v>
      </c>
      <c r="F329" s="543">
        <v>0.5</v>
      </c>
      <c r="G329" s="544">
        <v>0.5</v>
      </c>
      <c r="H329" s="542">
        <v>0.30526315789473685</v>
      </c>
      <c r="I329" s="543">
        <v>0.37499999999999994</v>
      </c>
      <c r="J329" s="544">
        <v>0.5</v>
      </c>
      <c r="K329" s="548">
        <v>0</v>
      </c>
    </row>
    <row r="330" spans="1:11" ht="67.5" customHeight="1" x14ac:dyDescent="0.5">
      <c r="A330" s="288" t="s">
        <v>240</v>
      </c>
      <c r="B330" s="540" t="s">
        <v>916</v>
      </c>
      <c r="C330" s="541" t="s">
        <v>241</v>
      </c>
      <c r="D330" s="295"/>
      <c r="E330" s="542">
        <v>0</v>
      </c>
      <c r="F330" s="543">
        <v>0</v>
      </c>
      <c r="G330" s="544">
        <v>0</v>
      </c>
      <c r="H330" s="542">
        <v>0</v>
      </c>
      <c r="I330" s="543">
        <v>0</v>
      </c>
      <c r="J330" s="544">
        <v>0</v>
      </c>
      <c r="K330" s="548">
        <v>0.12561824952569073</v>
      </c>
    </row>
    <row r="331" spans="1:11" ht="67.5" customHeight="1" x14ac:dyDescent="0.5">
      <c r="A331" s="288" t="s">
        <v>177</v>
      </c>
      <c r="B331" s="540" t="s">
        <v>916</v>
      </c>
      <c r="C331" s="541" t="s">
        <v>178</v>
      </c>
      <c r="D331" s="295"/>
      <c r="E331" s="542">
        <v>0.25</v>
      </c>
      <c r="F331" s="543">
        <v>0.25</v>
      </c>
      <c r="G331" s="544">
        <v>0</v>
      </c>
      <c r="H331" s="542">
        <v>0</v>
      </c>
      <c r="I331" s="543">
        <v>0</v>
      </c>
      <c r="J331" s="544">
        <v>0</v>
      </c>
      <c r="K331" s="548">
        <v>9.4654608926830489E-2</v>
      </c>
    </row>
    <row r="332" spans="1:11" ht="67.5" customHeight="1" x14ac:dyDescent="0.5">
      <c r="A332" s="292" t="s">
        <v>69</v>
      </c>
      <c r="B332" s="540" t="s">
        <v>916</v>
      </c>
      <c r="C332" s="541" t="s">
        <v>70</v>
      </c>
      <c r="D332" s="295"/>
      <c r="E332" s="542">
        <v>0</v>
      </c>
      <c r="F332" s="543">
        <v>0.25</v>
      </c>
      <c r="G332" s="544">
        <v>0.75</v>
      </c>
      <c r="H332" s="542">
        <v>0.15789473684210514</v>
      </c>
      <c r="I332" s="543">
        <v>0.9375</v>
      </c>
      <c r="J332" s="544">
        <v>1</v>
      </c>
      <c r="K332" s="548">
        <v>0.84250236693451297</v>
      </c>
    </row>
    <row r="333" spans="1:11" ht="67.5" customHeight="1" x14ac:dyDescent="0.5">
      <c r="A333" s="288" t="s">
        <v>529</v>
      </c>
      <c r="B333" s="540" t="s">
        <v>916</v>
      </c>
      <c r="C333" s="541" t="s">
        <v>530</v>
      </c>
      <c r="D333" s="295"/>
      <c r="E333" s="542">
        <v>0.25</v>
      </c>
      <c r="F333" s="543">
        <v>0.25</v>
      </c>
      <c r="G333" s="544">
        <v>0</v>
      </c>
      <c r="H333" s="542">
        <v>0</v>
      </c>
      <c r="I333" s="543">
        <v>0</v>
      </c>
      <c r="J333" s="544">
        <v>0</v>
      </c>
      <c r="K333" s="548">
        <v>0</v>
      </c>
    </row>
    <row r="334" spans="1:11" ht="67.5" customHeight="1" x14ac:dyDescent="0.5">
      <c r="A334" s="288" t="s">
        <v>33</v>
      </c>
      <c r="B334" s="540" t="s">
        <v>916</v>
      </c>
      <c r="C334" s="541" t="s">
        <v>34</v>
      </c>
      <c r="D334" s="295"/>
      <c r="E334" s="542">
        <v>0.5</v>
      </c>
      <c r="F334" s="543">
        <v>1</v>
      </c>
      <c r="G334" s="544">
        <v>1</v>
      </c>
      <c r="H334" s="542">
        <v>0</v>
      </c>
      <c r="I334" s="543">
        <v>0</v>
      </c>
      <c r="J334" s="544">
        <v>0</v>
      </c>
      <c r="K334" s="548">
        <v>0.86366886469573956</v>
      </c>
    </row>
    <row r="335" spans="1:11" ht="67.5" customHeight="1" x14ac:dyDescent="0.5">
      <c r="A335" s="288" t="s">
        <v>189</v>
      </c>
      <c r="B335" s="540" t="s">
        <v>916</v>
      </c>
      <c r="C335" s="541" t="s">
        <v>190</v>
      </c>
      <c r="D335" s="295"/>
      <c r="E335" s="542">
        <v>0.25</v>
      </c>
      <c r="F335" s="543">
        <v>0</v>
      </c>
      <c r="G335" s="544">
        <v>0</v>
      </c>
      <c r="H335" s="542">
        <v>0.10526315789473689</v>
      </c>
      <c r="I335" s="543">
        <v>6.2499999999999986E-2</v>
      </c>
      <c r="J335" s="544">
        <v>0</v>
      </c>
      <c r="K335" s="548">
        <v>0</v>
      </c>
    </row>
    <row r="336" spans="1:11" ht="67.5" customHeight="1" x14ac:dyDescent="0.5">
      <c r="A336" s="288" t="s">
        <v>249</v>
      </c>
      <c r="B336" s="540" t="s">
        <v>916</v>
      </c>
      <c r="C336" s="541" t="s">
        <v>250</v>
      </c>
      <c r="D336" s="295"/>
      <c r="E336" s="542">
        <v>0</v>
      </c>
      <c r="F336" s="543">
        <v>0</v>
      </c>
      <c r="G336" s="544">
        <v>0</v>
      </c>
      <c r="H336" s="542">
        <v>0</v>
      </c>
      <c r="I336" s="543">
        <v>0</v>
      </c>
      <c r="J336" s="544">
        <v>0</v>
      </c>
      <c r="K336" s="548">
        <v>0.19341898230946059</v>
      </c>
    </row>
    <row r="337" spans="1:11" ht="67.5" customHeight="1" x14ac:dyDescent="0.5">
      <c r="A337" s="288" t="s">
        <v>246</v>
      </c>
      <c r="B337" s="540" t="s">
        <v>916</v>
      </c>
      <c r="C337" s="541" t="s">
        <v>247</v>
      </c>
      <c r="D337" s="295"/>
      <c r="E337" s="542">
        <v>0</v>
      </c>
      <c r="F337" s="543">
        <v>0</v>
      </c>
      <c r="G337" s="544">
        <v>0</v>
      </c>
      <c r="H337" s="542">
        <v>5.2631578947368286E-2</v>
      </c>
      <c r="I337" s="543">
        <v>0</v>
      </c>
      <c r="J337" s="544">
        <v>0</v>
      </c>
      <c r="K337" s="548">
        <v>0</v>
      </c>
    </row>
    <row r="338" spans="1:11" ht="67.5" customHeight="1" x14ac:dyDescent="0.5">
      <c r="A338" s="288" t="s">
        <v>793</v>
      </c>
      <c r="B338" s="540" t="s">
        <v>916</v>
      </c>
      <c r="C338" s="541" t="s">
        <v>794</v>
      </c>
      <c r="D338" s="295"/>
      <c r="E338" s="542">
        <v>0</v>
      </c>
      <c r="F338" s="543">
        <v>0</v>
      </c>
      <c r="G338" s="544">
        <v>0</v>
      </c>
      <c r="H338" s="542">
        <v>1.5789473684210468E-2</v>
      </c>
      <c r="I338" s="543">
        <v>9.7222222222222293E-2</v>
      </c>
      <c r="J338" s="544">
        <v>0.16666666666666666</v>
      </c>
      <c r="K338" s="548">
        <v>0</v>
      </c>
    </row>
    <row r="339" spans="1:11" ht="67.5" customHeight="1" x14ac:dyDescent="0.5">
      <c r="A339" s="288" t="s">
        <v>27</v>
      </c>
      <c r="B339" s="540" t="s">
        <v>916</v>
      </c>
      <c r="C339" s="541" t="s">
        <v>28</v>
      </c>
      <c r="D339" s="295"/>
      <c r="E339" s="542">
        <v>0</v>
      </c>
      <c r="F339" s="543">
        <v>0.25</v>
      </c>
      <c r="G339" s="544">
        <v>0</v>
      </c>
      <c r="H339" s="542">
        <v>0</v>
      </c>
      <c r="I339" s="543">
        <v>6.2499999999999986E-2</v>
      </c>
      <c r="J339" s="544">
        <v>0</v>
      </c>
      <c r="K339" s="548">
        <v>0</v>
      </c>
    </row>
    <row r="340" spans="1:11" ht="67.5" customHeight="1" x14ac:dyDescent="0.5">
      <c r="A340" s="288" t="s">
        <v>234</v>
      </c>
      <c r="B340" s="540" t="s">
        <v>916</v>
      </c>
      <c r="C340" s="541" t="s">
        <v>235</v>
      </c>
      <c r="D340" s="295"/>
      <c r="E340" s="542">
        <v>0.25</v>
      </c>
      <c r="F340" s="543">
        <v>0</v>
      </c>
      <c r="G340" s="544">
        <v>0</v>
      </c>
      <c r="H340" s="542">
        <v>5.2631578947368286E-2</v>
      </c>
      <c r="I340" s="543">
        <v>0.25</v>
      </c>
      <c r="J340" s="544">
        <v>0.27272727272727382</v>
      </c>
      <c r="K340" s="548">
        <v>0</v>
      </c>
    </row>
    <row r="341" spans="1:11" ht="67.5" customHeight="1" x14ac:dyDescent="0.5">
      <c r="A341" s="288" t="s">
        <v>219</v>
      </c>
      <c r="B341" s="540" t="s">
        <v>916</v>
      </c>
      <c r="C341" s="541" t="s">
        <v>220</v>
      </c>
      <c r="D341" s="295"/>
      <c r="E341" s="542">
        <v>0</v>
      </c>
      <c r="F341" s="543">
        <v>0</v>
      </c>
      <c r="G341" s="544">
        <v>0</v>
      </c>
      <c r="H341" s="542">
        <v>5.2631578947368286E-2</v>
      </c>
      <c r="I341" s="543">
        <v>0.31249999999999989</v>
      </c>
      <c r="J341" s="544">
        <v>0.2000000000000012</v>
      </c>
      <c r="K341" s="548">
        <v>0</v>
      </c>
    </row>
    <row r="342" spans="1:11" ht="67.5" customHeight="1" x14ac:dyDescent="0.5">
      <c r="A342" s="288" t="s">
        <v>120</v>
      </c>
      <c r="B342" s="540" t="s">
        <v>916</v>
      </c>
      <c r="C342" s="541" t="s">
        <v>121</v>
      </c>
      <c r="D342" s="295"/>
      <c r="E342" s="542">
        <v>0</v>
      </c>
      <c r="F342" s="543">
        <v>0</v>
      </c>
      <c r="G342" s="544">
        <v>0</v>
      </c>
      <c r="H342" s="542">
        <v>0</v>
      </c>
      <c r="I342" s="543">
        <v>6.2499999999999986E-2</v>
      </c>
      <c r="J342" s="544">
        <v>0</v>
      </c>
      <c r="K342" s="548">
        <v>0</v>
      </c>
    </row>
    <row r="343" spans="1:11" ht="67.5" customHeight="1" x14ac:dyDescent="0.5">
      <c r="A343" s="288" t="s">
        <v>207</v>
      </c>
      <c r="B343" s="540" t="s">
        <v>916</v>
      </c>
      <c r="C343" s="541" t="s">
        <v>208</v>
      </c>
      <c r="D343" s="295"/>
      <c r="E343" s="542">
        <v>0</v>
      </c>
      <c r="F343" s="543">
        <v>0</v>
      </c>
      <c r="G343" s="544">
        <v>0</v>
      </c>
      <c r="H343" s="542">
        <v>0</v>
      </c>
      <c r="I343" s="543">
        <v>0</v>
      </c>
      <c r="J343" s="544">
        <v>0</v>
      </c>
      <c r="K343" s="548">
        <v>0.25738408720481959</v>
      </c>
    </row>
    <row r="344" spans="1:11" ht="67.5" customHeight="1" x14ac:dyDescent="0.5">
      <c r="A344" s="288" t="s">
        <v>153</v>
      </c>
      <c r="B344" s="540" t="s">
        <v>916</v>
      </c>
      <c r="C344" s="541" t="s">
        <v>154</v>
      </c>
      <c r="D344" s="295"/>
      <c r="E344" s="542">
        <v>0</v>
      </c>
      <c r="F344" s="543">
        <v>0</v>
      </c>
      <c r="G344" s="544">
        <v>0.25</v>
      </c>
      <c r="H344" s="542">
        <v>5.2631578947368286E-2</v>
      </c>
      <c r="I344" s="543">
        <v>0</v>
      </c>
      <c r="J344" s="544">
        <v>0</v>
      </c>
      <c r="K344" s="548">
        <v>0</v>
      </c>
    </row>
    <row r="345" spans="1:11" ht="67.5" customHeight="1" x14ac:dyDescent="0.5">
      <c r="A345" s="288" t="s">
        <v>90</v>
      </c>
      <c r="B345" s="540" t="s">
        <v>916</v>
      </c>
      <c r="C345" s="541" t="s">
        <v>91</v>
      </c>
      <c r="D345" s="295"/>
      <c r="E345" s="542">
        <v>0</v>
      </c>
      <c r="F345" s="543">
        <v>0</v>
      </c>
      <c r="G345" s="544">
        <v>0</v>
      </c>
      <c r="H345" s="542">
        <v>0</v>
      </c>
      <c r="I345" s="543">
        <v>0</v>
      </c>
      <c r="J345" s="544">
        <v>0</v>
      </c>
      <c r="K345" s="548">
        <v>7.8463691184984447E-2</v>
      </c>
    </row>
    <row r="346" spans="1:11" ht="67.5" customHeight="1" x14ac:dyDescent="0.5">
      <c r="A346" s="288" t="s">
        <v>216</v>
      </c>
      <c r="B346" s="540" t="s">
        <v>916</v>
      </c>
      <c r="C346" s="541" t="s">
        <v>217</v>
      </c>
      <c r="D346" s="295"/>
      <c r="E346" s="542">
        <v>1</v>
      </c>
      <c r="F346" s="543">
        <v>1</v>
      </c>
      <c r="G346" s="544">
        <v>1</v>
      </c>
      <c r="H346" s="542">
        <v>0.47368421052631576</v>
      </c>
      <c r="I346" s="543">
        <v>0.75000000000000011</v>
      </c>
      <c r="J346" s="544">
        <v>0.41818181818181904</v>
      </c>
      <c r="K346" s="548">
        <v>7.3383099573953909E-4</v>
      </c>
    </row>
    <row r="347" spans="1:11" ht="67.5" customHeight="1" x14ac:dyDescent="0.5">
      <c r="A347" s="288" t="s">
        <v>159</v>
      </c>
      <c r="B347" s="540" t="s">
        <v>916</v>
      </c>
      <c r="C347" s="541" t="s">
        <v>160</v>
      </c>
      <c r="D347" s="295"/>
      <c r="E347" s="542">
        <v>0.5</v>
      </c>
      <c r="F347" s="543">
        <v>1</v>
      </c>
      <c r="G347" s="544">
        <v>1</v>
      </c>
      <c r="H347" s="542">
        <v>5.2631578947368286E-2</v>
      </c>
      <c r="I347" s="543">
        <v>0</v>
      </c>
      <c r="J347" s="544">
        <v>0</v>
      </c>
      <c r="K347" s="548">
        <v>0</v>
      </c>
    </row>
    <row r="348" spans="1:11" ht="67.5" customHeight="1" x14ac:dyDescent="0.5">
      <c r="A348" s="288" t="s">
        <v>213</v>
      </c>
      <c r="B348" s="540" t="s">
        <v>916</v>
      </c>
      <c r="C348" s="541" t="s">
        <v>214</v>
      </c>
      <c r="D348" s="295"/>
      <c r="E348" s="542">
        <v>0</v>
      </c>
      <c r="F348" s="543">
        <v>0</v>
      </c>
      <c r="G348" s="544">
        <v>0</v>
      </c>
      <c r="H348" s="542">
        <v>0</v>
      </c>
      <c r="I348" s="543">
        <v>0</v>
      </c>
      <c r="J348" s="544">
        <v>0</v>
      </c>
      <c r="K348" s="548">
        <v>0</v>
      </c>
    </row>
    <row r="349" spans="1:11" ht="67.5" customHeight="1" x14ac:dyDescent="0.5">
      <c r="A349" s="288" t="s">
        <v>60</v>
      </c>
      <c r="B349" s="540" t="s">
        <v>916</v>
      </c>
      <c r="C349" s="541" t="s">
        <v>61</v>
      </c>
      <c r="D349" s="295"/>
      <c r="E349" s="542">
        <v>0.25</v>
      </c>
      <c r="F349" s="543">
        <v>0</v>
      </c>
      <c r="G349" s="544">
        <v>0</v>
      </c>
      <c r="H349" s="542">
        <v>0</v>
      </c>
      <c r="I349" s="543">
        <v>6.2499999999999986E-2</v>
      </c>
      <c r="J349" s="544">
        <v>5.4545454545456083E-2</v>
      </c>
      <c r="K349" s="548">
        <v>8.8284255129845904E-2</v>
      </c>
    </row>
    <row r="350" spans="1:11" ht="67.5" customHeight="1" x14ac:dyDescent="0.5">
      <c r="A350" s="288" t="s">
        <v>521</v>
      </c>
      <c r="B350" s="540" t="s">
        <v>916</v>
      </c>
      <c r="C350" s="541" t="s">
        <v>522</v>
      </c>
      <c r="D350" s="295"/>
      <c r="E350" s="542">
        <v>0</v>
      </c>
      <c r="F350" s="543">
        <v>0</v>
      </c>
      <c r="G350" s="544">
        <v>0</v>
      </c>
      <c r="H350" s="542">
        <v>2.4930747922437709E-2</v>
      </c>
      <c r="I350" s="543">
        <v>0</v>
      </c>
      <c r="J350" s="544">
        <v>0</v>
      </c>
      <c r="K350" s="548">
        <v>0</v>
      </c>
    </row>
    <row r="351" spans="1:11" ht="67.5" customHeight="1" x14ac:dyDescent="0.5">
      <c r="A351" s="288" t="s">
        <v>425</v>
      </c>
      <c r="B351" s="540" t="s">
        <v>916</v>
      </c>
      <c r="C351" s="541" t="s">
        <v>426</v>
      </c>
      <c r="D351" s="295"/>
      <c r="E351" s="542">
        <v>0</v>
      </c>
      <c r="F351" s="543">
        <v>0</v>
      </c>
      <c r="G351" s="544">
        <v>0</v>
      </c>
      <c r="H351" s="542">
        <v>0</v>
      </c>
      <c r="I351" s="543">
        <v>0</v>
      </c>
      <c r="J351" s="544">
        <v>0</v>
      </c>
      <c r="K351" s="548">
        <v>0</v>
      </c>
    </row>
    <row r="352" spans="1:11" ht="67.5" customHeight="1" x14ac:dyDescent="0.5">
      <c r="A352" s="288" t="s">
        <v>501</v>
      </c>
      <c r="B352" s="540" t="s">
        <v>916</v>
      </c>
      <c r="C352" s="541" t="s">
        <v>502</v>
      </c>
      <c r="D352" s="295"/>
      <c r="E352" s="542">
        <v>0</v>
      </c>
      <c r="F352" s="543">
        <v>0.25</v>
      </c>
      <c r="G352" s="544">
        <v>0</v>
      </c>
      <c r="H352" s="542">
        <v>0.20775623268698062</v>
      </c>
      <c r="I352" s="543">
        <v>0.16666666666666677</v>
      </c>
      <c r="J352" s="544">
        <v>0.25</v>
      </c>
      <c r="K352" s="548">
        <v>0</v>
      </c>
    </row>
    <row r="353" spans="1:11" ht="67.5" customHeight="1" x14ac:dyDescent="0.5">
      <c r="A353" s="288" t="s">
        <v>505</v>
      </c>
      <c r="B353" s="540" t="s">
        <v>916</v>
      </c>
      <c r="C353" s="541" t="s">
        <v>506</v>
      </c>
      <c r="D353" s="295"/>
      <c r="E353" s="542">
        <v>0</v>
      </c>
      <c r="F353" s="543">
        <v>0</v>
      </c>
      <c r="G353" s="544">
        <v>0</v>
      </c>
      <c r="H353" s="542">
        <v>0</v>
      </c>
      <c r="I353" s="543">
        <v>0</v>
      </c>
      <c r="J353" s="544">
        <v>0</v>
      </c>
      <c r="K353" s="548">
        <v>0</v>
      </c>
    </row>
    <row r="354" spans="1:11" ht="67.5" customHeight="1" x14ac:dyDescent="0.5">
      <c r="A354" s="288" t="s">
        <v>559</v>
      </c>
      <c r="B354" s="540" t="s">
        <v>916</v>
      </c>
      <c r="C354" s="541" t="s">
        <v>560</v>
      </c>
      <c r="D354" s="295"/>
      <c r="E354" s="542">
        <v>0</v>
      </c>
      <c r="F354" s="543">
        <v>0</v>
      </c>
      <c r="G354" s="544">
        <v>0.25</v>
      </c>
      <c r="H354" s="542">
        <v>0</v>
      </c>
      <c r="I354" s="543">
        <v>0</v>
      </c>
      <c r="J354" s="544">
        <v>0.11111111111111123</v>
      </c>
      <c r="K354" s="548">
        <v>0</v>
      </c>
    </row>
    <row r="355" spans="1:11" ht="67.5" customHeight="1" x14ac:dyDescent="0.5">
      <c r="A355" s="288" t="s">
        <v>545</v>
      </c>
      <c r="B355" s="540" t="s">
        <v>916</v>
      </c>
      <c r="C355" s="541" t="s">
        <v>546</v>
      </c>
      <c r="D355" s="295"/>
      <c r="E355" s="542">
        <v>0.25</v>
      </c>
      <c r="F355" s="543">
        <v>0.25</v>
      </c>
      <c r="G355" s="544">
        <v>0</v>
      </c>
      <c r="H355" s="542">
        <v>0</v>
      </c>
      <c r="I355" s="543">
        <v>0</v>
      </c>
      <c r="J355" s="544">
        <v>0</v>
      </c>
      <c r="K355" s="548">
        <v>0</v>
      </c>
    </row>
    <row r="356" spans="1:11" ht="67.5" customHeight="1" x14ac:dyDescent="0.5">
      <c r="A356" s="288" t="s">
        <v>485</v>
      </c>
      <c r="B356" s="540" t="s">
        <v>916</v>
      </c>
      <c r="C356" s="541" t="s">
        <v>486</v>
      </c>
      <c r="D356" s="295"/>
      <c r="E356" s="542">
        <v>0</v>
      </c>
      <c r="F356" s="543">
        <v>0</v>
      </c>
      <c r="G356" s="544">
        <v>0</v>
      </c>
      <c r="H356" s="542">
        <v>7.3684210526315755E-2</v>
      </c>
      <c r="I356" s="543">
        <v>9.7222222222222293E-2</v>
      </c>
      <c r="J356" s="544">
        <v>0</v>
      </c>
      <c r="K356" s="548">
        <v>0</v>
      </c>
    </row>
    <row r="357" spans="1:11" ht="67.5" customHeight="1" x14ac:dyDescent="0.5">
      <c r="A357" s="288" t="s">
        <v>525</v>
      </c>
      <c r="B357" s="540" t="s">
        <v>916</v>
      </c>
      <c r="C357" s="541" t="s">
        <v>526</v>
      </c>
      <c r="D357" s="295"/>
      <c r="E357" s="542">
        <v>0</v>
      </c>
      <c r="F357" s="543">
        <v>0</v>
      </c>
      <c r="G357" s="544">
        <v>0</v>
      </c>
      <c r="H357" s="542">
        <v>0</v>
      </c>
      <c r="I357" s="543">
        <v>0</v>
      </c>
      <c r="J357" s="544">
        <v>0</v>
      </c>
      <c r="K357" s="548">
        <v>0.13688148785102819</v>
      </c>
    </row>
    <row r="358" spans="1:11" ht="67.5" customHeight="1" x14ac:dyDescent="0.5">
      <c r="A358" s="288" t="s">
        <v>419</v>
      </c>
      <c r="B358" s="540" t="s">
        <v>916</v>
      </c>
      <c r="C358" s="541" t="s">
        <v>420</v>
      </c>
      <c r="D358" s="295"/>
      <c r="E358" s="542">
        <v>0</v>
      </c>
      <c r="F358" s="543">
        <v>0</v>
      </c>
      <c r="G358" s="544">
        <v>0</v>
      </c>
      <c r="H358" s="542">
        <v>0</v>
      </c>
      <c r="I358" s="543">
        <v>0</v>
      </c>
      <c r="J358" s="544">
        <v>0</v>
      </c>
      <c r="K358" s="548">
        <v>0</v>
      </c>
    </row>
    <row r="359" spans="1:11" ht="67.5" customHeight="1" x14ac:dyDescent="0.5">
      <c r="A359" s="288" t="s">
        <v>459</v>
      </c>
      <c r="B359" s="540" t="s">
        <v>916</v>
      </c>
      <c r="C359" s="541" t="s">
        <v>460</v>
      </c>
      <c r="D359" s="295"/>
      <c r="E359" s="542">
        <v>0.25</v>
      </c>
      <c r="F359" s="543">
        <v>0.25</v>
      </c>
      <c r="G359" s="544">
        <v>0.5</v>
      </c>
      <c r="H359" s="542">
        <v>0</v>
      </c>
      <c r="I359" s="543">
        <v>0</v>
      </c>
      <c r="J359" s="544">
        <v>0</v>
      </c>
      <c r="K359" s="548">
        <v>0</v>
      </c>
    </row>
    <row r="360" spans="1:11" ht="67.5" customHeight="1" x14ac:dyDescent="0.5">
      <c r="A360" s="288" t="s">
        <v>481</v>
      </c>
      <c r="B360" s="540" t="s">
        <v>916</v>
      </c>
      <c r="C360" s="541" t="s">
        <v>482</v>
      </c>
      <c r="D360" s="295"/>
      <c r="E360" s="542">
        <v>0.5</v>
      </c>
      <c r="F360" s="543">
        <v>0.25</v>
      </c>
      <c r="G360" s="544">
        <v>0.25</v>
      </c>
      <c r="H360" s="542">
        <v>0.18947368421052627</v>
      </c>
      <c r="I360" s="543">
        <v>0.44444444444444442</v>
      </c>
      <c r="J360" s="544">
        <v>0.58333333333333337</v>
      </c>
      <c r="K360" s="548">
        <v>0</v>
      </c>
    </row>
    <row r="361" spans="1:11" ht="67.5" customHeight="1" x14ac:dyDescent="0.5">
      <c r="A361" s="292" t="s">
        <v>463</v>
      </c>
      <c r="B361" s="540" t="s">
        <v>916</v>
      </c>
      <c r="C361" s="541" t="s">
        <v>464</v>
      </c>
      <c r="D361" s="295"/>
      <c r="E361" s="542">
        <v>1</v>
      </c>
      <c r="F361" s="543">
        <v>1</v>
      </c>
      <c r="G361" s="544">
        <v>1</v>
      </c>
      <c r="H361" s="542">
        <v>1</v>
      </c>
      <c r="I361" s="543">
        <v>1</v>
      </c>
      <c r="J361" s="544">
        <v>1</v>
      </c>
      <c r="K361" s="548">
        <v>0.83617787872322402</v>
      </c>
    </row>
    <row r="362" spans="1:11" ht="67.5" customHeight="1" x14ac:dyDescent="0.5">
      <c r="A362" s="288" t="s">
        <v>465</v>
      </c>
      <c r="B362" s="540" t="s">
        <v>916</v>
      </c>
      <c r="C362" s="541" t="s">
        <v>466</v>
      </c>
      <c r="D362" s="295"/>
      <c r="E362" s="542">
        <v>0.25</v>
      </c>
      <c r="F362" s="543">
        <v>0</v>
      </c>
      <c r="G362" s="544">
        <v>0.25</v>
      </c>
      <c r="H362" s="542">
        <v>0</v>
      </c>
      <c r="I362" s="543">
        <v>0</v>
      </c>
      <c r="J362" s="544">
        <v>0</v>
      </c>
      <c r="K362" s="548">
        <v>0</v>
      </c>
    </row>
    <row r="363" spans="1:11" ht="67.5" customHeight="1" x14ac:dyDescent="0.5">
      <c r="A363" s="292" t="s">
        <v>543</v>
      </c>
      <c r="B363" s="540" t="s">
        <v>916</v>
      </c>
      <c r="C363" s="541" t="s">
        <v>544</v>
      </c>
      <c r="D363" s="295"/>
      <c r="E363" s="542">
        <v>1</v>
      </c>
      <c r="F363" s="543">
        <v>1</v>
      </c>
      <c r="G363" s="544">
        <v>1</v>
      </c>
      <c r="H363" s="542">
        <v>1</v>
      </c>
      <c r="I363" s="543">
        <v>1</v>
      </c>
      <c r="J363" s="544">
        <v>1</v>
      </c>
      <c r="K363" s="548">
        <v>0.70650781779183558</v>
      </c>
    </row>
    <row r="364" spans="1:11" ht="67.5" customHeight="1" x14ac:dyDescent="0.5">
      <c r="A364" s="288" t="s">
        <v>503</v>
      </c>
      <c r="B364" s="540" t="s">
        <v>916</v>
      </c>
      <c r="C364" s="541" t="s">
        <v>504</v>
      </c>
      <c r="D364" s="295"/>
      <c r="E364" s="542">
        <v>0.25</v>
      </c>
      <c r="F364" s="543">
        <v>0</v>
      </c>
      <c r="G364" s="544">
        <v>0</v>
      </c>
      <c r="H364" s="542">
        <v>0</v>
      </c>
      <c r="I364" s="543">
        <v>0</v>
      </c>
      <c r="J364" s="544">
        <v>0</v>
      </c>
      <c r="K364" s="548">
        <v>0.2104925988014858</v>
      </c>
    </row>
    <row r="365" spans="1:11" ht="67.5" customHeight="1" x14ac:dyDescent="0.5">
      <c r="A365" s="288" t="s">
        <v>499</v>
      </c>
      <c r="B365" s="540" t="s">
        <v>916</v>
      </c>
      <c r="C365" s="541" t="s">
        <v>500</v>
      </c>
      <c r="D365" s="295"/>
      <c r="E365" s="542">
        <v>0</v>
      </c>
      <c r="F365" s="543">
        <v>0.25</v>
      </c>
      <c r="G365" s="544">
        <v>0</v>
      </c>
      <c r="H365" s="542">
        <v>2.4930747922437709E-2</v>
      </c>
      <c r="I365" s="543">
        <v>0.16666666666666677</v>
      </c>
      <c r="J365" s="544">
        <v>8.3333333333333329E-2</v>
      </c>
      <c r="K365" s="548">
        <v>0</v>
      </c>
    </row>
    <row r="366" spans="1:11" ht="67.5" customHeight="1" x14ac:dyDescent="0.5">
      <c r="A366" s="288" t="s">
        <v>813</v>
      </c>
      <c r="B366" s="540" t="s">
        <v>916</v>
      </c>
      <c r="C366" s="541" t="s">
        <v>814</v>
      </c>
      <c r="D366" s="295"/>
      <c r="E366" s="542">
        <v>0</v>
      </c>
      <c r="F366" s="543">
        <v>0</v>
      </c>
      <c r="G366" s="544">
        <v>0</v>
      </c>
      <c r="H366" s="542">
        <v>0</v>
      </c>
      <c r="I366" s="543">
        <v>0</v>
      </c>
      <c r="J366" s="544">
        <v>0</v>
      </c>
      <c r="K366" s="548">
        <v>0</v>
      </c>
    </row>
    <row r="367" spans="1:11" ht="67.5" customHeight="1" x14ac:dyDescent="0.5">
      <c r="A367" s="288" t="s">
        <v>479</v>
      </c>
      <c r="B367" s="540" t="s">
        <v>916</v>
      </c>
      <c r="C367" s="541" t="s">
        <v>480</v>
      </c>
      <c r="D367" s="295"/>
      <c r="E367" s="542">
        <v>1</v>
      </c>
      <c r="F367" s="543">
        <v>1</v>
      </c>
      <c r="G367" s="544">
        <v>1</v>
      </c>
      <c r="H367" s="542">
        <v>0.24736842105263154</v>
      </c>
      <c r="I367" s="543">
        <v>0.7222222222222221</v>
      </c>
      <c r="J367" s="544">
        <v>0.66666666666666663</v>
      </c>
      <c r="K367" s="548">
        <v>0</v>
      </c>
    </row>
    <row r="368" spans="1:11" ht="67.5" customHeight="1" x14ac:dyDescent="0.5">
      <c r="A368" s="288" t="s">
        <v>829</v>
      </c>
      <c r="B368" s="540" t="s">
        <v>916</v>
      </c>
      <c r="C368" s="541" t="s">
        <v>830</v>
      </c>
      <c r="D368" s="295"/>
      <c r="E368" s="542">
        <v>0</v>
      </c>
      <c r="F368" s="543">
        <v>0</v>
      </c>
      <c r="G368" s="544">
        <v>0.5</v>
      </c>
      <c r="H368" s="542">
        <v>0</v>
      </c>
      <c r="I368" s="543">
        <v>0</v>
      </c>
      <c r="J368" s="544">
        <v>0</v>
      </c>
      <c r="K368" s="548">
        <v>0</v>
      </c>
    </row>
    <row r="369" spans="1:11" ht="67.5" customHeight="1" x14ac:dyDescent="0.5">
      <c r="A369" s="288" t="s">
        <v>461</v>
      </c>
      <c r="B369" s="540" t="s">
        <v>916</v>
      </c>
      <c r="C369" s="541" t="s">
        <v>462</v>
      </c>
      <c r="D369" s="295"/>
      <c r="E369" s="542">
        <v>0.75</v>
      </c>
      <c r="F369" s="543">
        <v>1</v>
      </c>
      <c r="G369" s="544">
        <v>1</v>
      </c>
      <c r="H369" s="542">
        <v>1.5789473684210468E-2</v>
      </c>
      <c r="I369" s="543">
        <v>0.23611111111111102</v>
      </c>
      <c r="J369" s="544">
        <v>0.41666666666666669</v>
      </c>
      <c r="K369" s="548">
        <v>0</v>
      </c>
    </row>
    <row r="370" spans="1:11" ht="67.5" customHeight="1" x14ac:dyDescent="0.5">
      <c r="A370" s="288" t="s">
        <v>433</v>
      </c>
      <c r="B370" s="540" t="s">
        <v>916</v>
      </c>
      <c r="C370" s="541" t="s">
        <v>434</v>
      </c>
      <c r="D370" s="295"/>
      <c r="E370" s="542">
        <v>0</v>
      </c>
      <c r="F370" s="543">
        <v>0</v>
      </c>
      <c r="G370" s="544">
        <v>0</v>
      </c>
      <c r="H370" s="542">
        <v>0</v>
      </c>
      <c r="I370" s="543">
        <v>0</v>
      </c>
      <c r="J370" s="544">
        <v>0</v>
      </c>
      <c r="K370" s="548">
        <v>0</v>
      </c>
    </row>
    <row r="371" spans="1:11" ht="67.5" customHeight="1" x14ac:dyDescent="0.5">
      <c r="A371" s="288" t="s">
        <v>441</v>
      </c>
      <c r="B371" s="540" t="s">
        <v>916</v>
      </c>
      <c r="C371" s="541" t="s">
        <v>442</v>
      </c>
      <c r="D371" s="295"/>
      <c r="E371" s="542">
        <v>0</v>
      </c>
      <c r="F371" s="543">
        <v>0</v>
      </c>
      <c r="G371" s="544">
        <v>0</v>
      </c>
      <c r="H371" s="542">
        <v>0</v>
      </c>
      <c r="I371" s="543">
        <v>0</v>
      </c>
      <c r="J371" s="544">
        <v>0</v>
      </c>
      <c r="K371" s="548">
        <v>0</v>
      </c>
    </row>
    <row r="372" spans="1:11" ht="67.5" customHeight="1" x14ac:dyDescent="0.5">
      <c r="A372" s="292" t="s">
        <v>789</v>
      </c>
      <c r="B372" s="540" t="s">
        <v>916</v>
      </c>
      <c r="C372" s="541" t="s">
        <v>790</v>
      </c>
      <c r="D372" s="295"/>
      <c r="E372" s="542">
        <v>1</v>
      </c>
      <c r="F372" s="543">
        <v>1</v>
      </c>
      <c r="G372" s="544">
        <v>1</v>
      </c>
      <c r="H372" s="542">
        <v>0.18947368421052627</v>
      </c>
      <c r="I372" s="543">
        <v>0.44444444444444442</v>
      </c>
      <c r="J372" s="544">
        <v>1</v>
      </c>
      <c r="K372" s="548">
        <v>0.66650505179316222</v>
      </c>
    </row>
    <row r="373" spans="1:11" ht="67.5" customHeight="1" x14ac:dyDescent="0.5">
      <c r="A373" s="292" t="s">
        <v>527</v>
      </c>
      <c r="B373" s="540" t="s">
        <v>916</v>
      </c>
      <c r="C373" s="541" t="s">
        <v>528</v>
      </c>
      <c r="D373" s="295"/>
      <c r="E373" s="542">
        <v>1</v>
      </c>
      <c r="F373" s="543">
        <v>1</v>
      </c>
      <c r="G373" s="544">
        <v>1</v>
      </c>
      <c r="H373" s="542">
        <v>1</v>
      </c>
      <c r="I373" s="543">
        <v>1</v>
      </c>
      <c r="J373" s="544">
        <v>1</v>
      </c>
      <c r="K373" s="548">
        <v>0.50247317013073989</v>
      </c>
    </row>
    <row r="374" spans="1:11" ht="67.5" customHeight="1" x14ac:dyDescent="0.5">
      <c r="A374" s="292" t="s">
        <v>694</v>
      </c>
      <c r="B374" s="540" t="s">
        <v>916</v>
      </c>
      <c r="C374" s="541" t="s">
        <v>695</v>
      </c>
      <c r="D374" s="295"/>
      <c r="E374" s="542">
        <v>0.75</v>
      </c>
      <c r="F374" s="543">
        <v>0.75</v>
      </c>
      <c r="G374" s="544">
        <v>0.75</v>
      </c>
      <c r="H374" s="542">
        <v>1</v>
      </c>
      <c r="I374" s="543">
        <v>1</v>
      </c>
      <c r="J374" s="544">
        <v>1</v>
      </c>
      <c r="K374" s="548">
        <v>0.78364881960290345</v>
      </c>
    </row>
    <row r="375" spans="1:11" ht="67.5" customHeight="1" x14ac:dyDescent="0.5">
      <c r="A375" s="288" t="s">
        <v>833</v>
      </c>
      <c r="B375" s="540" t="s">
        <v>916</v>
      </c>
      <c r="C375" s="541" t="s">
        <v>834</v>
      </c>
      <c r="D375" s="295"/>
      <c r="E375" s="542">
        <v>0</v>
      </c>
      <c r="F375" s="543">
        <v>0</v>
      </c>
      <c r="G375" s="544">
        <v>0</v>
      </c>
      <c r="H375" s="542">
        <v>0</v>
      </c>
      <c r="I375" s="543">
        <v>0</v>
      </c>
      <c r="J375" s="544">
        <v>0</v>
      </c>
      <c r="K375" s="548">
        <v>0.15433372576030391</v>
      </c>
    </row>
    <row r="376" spans="1:11" ht="67.5" customHeight="1" x14ac:dyDescent="0.5">
      <c r="A376" s="292" t="s">
        <v>421</v>
      </c>
      <c r="B376" s="540" t="s">
        <v>916</v>
      </c>
      <c r="C376" s="541" t="s">
        <v>422</v>
      </c>
      <c r="D376" s="295"/>
      <c r="E376" s="542">
        <v>0.25</v>
      </c>
      <c r="F376" s="543">
        <v>0.75</v>
      </c>
      <c r="G376" s="544">
        <v>1</v>
      </c>
      <c r="H376" s="542">
        <v>0.31152204836415365</v>
      </c>
      <c r="I376" s="543">
        <v>0.58333333333333337</v>
      </c>
      <c r="J376" s="544">
        <v>0.66666666666666663</v>
      </c>
      <c r="K376" s="548">
        <v>0.46079464505509238</v>
      </c>
    </row>
    <row r="377" spans="1:11" ht="67.5" customHeight="1" x14ac:dyDescent="0.5">
      <c r="A377" s="288" t="s">
        <v>489</v>
      </c>
      <c r="B377" s="540" t="s">
        <v>916</v>
      </c>
      <c r="C377" s="541" t="s">
        <v>490</v>
      </c>
      <c r="D377" s="295"/>
      <c r="E377" s="542">
        <v>0.25</v>
      </c>
      <c r="F377" s="543">
        <v>0.5</v>
      </c>
      <c r="G377" s="544">
        <v>1</v>
      </c>
      <c r="H377" s="542">
        <v>0.13157894736842102</v>
      </c>
      <c r="I377" s="543">
        <v>0.30555555555555547</v>
      </c>
      <c r="J377" s="544">
        <v>0.33333333333333331</v>
      </c>
      <c r="K377" s="548">
        <v>3.4131937487933611E-2</v>
      </c>
    </row>
    <row r="378" spans="1:11" ht="67.5" customHeight="1" x14ac:dyDescent="0.5">
      <c r="A378" s="288" t="s">
        <v>483</v>
      </c>
      <c r="B378" s="540" t="s">
        <v>916</v>
      </c>
      <c r="C378" s="541" t="s">
        <v>484</v>
      </c>
      <c r="D378" s="295"/>
      <c r="E378" s="542">
        <v>0</v>
      </c>
      <c r="F378" s="543">
        <v>0</v>
      </c>
      <c r="G378" s="544">
        <v>0</v>
      </c>
      <c r="H378" s="542">
        <v>1.5789473684210468E-2</v>
      </c>
      <c r="I378" s="543">
        <v>0</v>
      </c>
      <c r="J378" s="544">
        <v>0.16666666666666666</v>
      </c>
      <c r="K378" s="548">
        <v>0</v>
      </c>
    </row>
    <row r="379" spans="1:11" ht="67.5" customHeight="1" x14ac:dyDescent="0.5">
      <c r="A379" s="288" t="s">
        <v>523</v>
      </c>
      <c r="B379" s="540" t="s">
        <v>916</v>
      </c>
      <c r="C379" s="541" t="s">
        <v>524</v>
      </c>
      <c r="D379" s="295" t="s">
        <v>962</v>
      </c>
      <c r="E379" s="542">
        <v>0</v>
      </c>
      <c r="F379" s="543">
        <v>0</v>
      </c>
      <c r="G379" s="544">
        <v>0</v>
      </c>
      <c r="H379" s="542">
        <v>2.4930747922437709E-2</v>
      </c>
      <c r="I379" s="543">
        <v>0</v>
      </c>
      <c r="J379" s="544">
        <v>0</v>
      </c>
      <c r="K379" s="548">
        <v>0</v>
      </c>
    </row>
    <row r="380" spans="1:11" ht="67.5" customHeight="1" x14ac:dyDescent="0.5">
      <c r="A380" s="288" t="s">
        <v>427</v>
      </c>
      <c r="B380" s="540" t="s">
        <v>916</v>
      </c>
      <c r="C380" s="541" t="s">
        <v>428</v>
      </c>
      <c r="D380" s="295" t="s">
        <v>963</v>
      </c>
      <c r="E380" s="542">
        <v>0</v>
      </c>
      <c r="F380" s="543">
        <v>0</v>
      </c>
      <c r="G380" s="544">
        <v>0</v>
      </c>
      <c r="H380" s="542">
        <v>0</v>
      </c>
      <c r="I380" s="543">
        <v>0</v>
      </c>
      <c r="J380" s="544">
        <v>0</v>
      </c>
      <c r="K380" s="548">
        <v>0</v>
      </c>
    </row>
    <row r="381" spans="1:11" ht="67.5" customHeight="1" x14ac:dyDescent="0.5">
      <c r="A381" s="288" t="s">
        <v>439</v>
      </c>
      <c r="B381" s="540" t="s">
        <v>916</v>
      </c>
      <c r="C381" s="541" t="s">
        <v>440</v>
      </c>
      <c r="D381" s="295"/>
      <c r="E381" s="542">
        <v>0</v>
      </c>
      <c r="F381" s="543">
        <v>0</v>
      </c>
      <c r="G381" s="544">
        <v>0</v>
      </c>
      <c r="H381" s="542">
        <v>0</v>
      </c>
      <c r="I381" s="543">
        <v>0</v>
      </c>
      <c r="J381" s="544">
        <v>0</v>
      </c>
      <c r="K381" s="548">
        <v>0</v>
      </c>
    </row>
    <row r="382" spans="1:11" ht="67.5" customHeight="1" x14ac:dyDescent="0.5">
      <c r="A382" s="288" t="s">
        <v>455</v>
      </c>
      <c r="B382" s="540" t="s">
        <v>916</v>
      </c>
      <c r="C382" s="541" t="s">
        <v>456</v>
      </c>
      <c r="D382" s="295"/>
      <c r="E382" s="542">
        <v>0</v>
      </c>
      <c r="F382" s="543">
        <v>0.25</v>
      </c>
      <c r="G382" s="544">
        <v>0</v>
      </c>
      <c r="H382" s="542">
        <v>0</v>
      </c>
      <c r="I382" s="543">
        <v>0</v>
      </c>
      <c r="J382" s="544">
        <v>0</v>
      </c>
      <c r="K382" s="548">
        <v>0</v>
      </c>
    </row>
    <row r="383" spans="1:11" ht="67.5" customHeight="1" x14ac:dyDescent="0.5">
      <c r="A383" s="288" t="s">
        <v>30</v>
      </c>
      <c r="B383" s="540" t="s">
        <v>916</v>
      </c>
      <c r="C383" s="541" t="s">
        <v>31</v>
      </c>
      <c r="D383" s="295"/>
      <c r="E383" s="542">
        <v>0</v>
      </c>
      <c r="F383" s="543">
        <v>0</v>
      </c>
      <c r="G383" s="544">
        <v>0</v>
      </c>
      <c r="H383" s="542">
        <v>0</v>
      </c>
      <c r="I383" s="543">
        <v>0</v>
      </c>
      <c r="J383" s="544">
        <v>0</v>
      </c>
      <c r="K383" s="548">
        <v>0.12297297599100393</v>
      </c>
    </row>
    <row r="384" spans="1:11" ht="67.5" customHeight="1" x14ac:dyDescent="0.5">
      <c r="A384" s="288" t="s">
        <v>117</v>
      </c>
      <c r="B384" s="540" t="s">
        <v>916</v>
      </c>
      <c r="C384" s="541" t="s">
        <v>118</v>
      </c>
      <c r="D384" s="295"/>
      <c r="E384" s="542">
        <v>0.25</v>
      </c>
      <c r="F384" s="543">
        <v>0</v>
      </c>
      <c r="G384" s="544">
        <v>0</v>
      </c>
      <c r="H384" s="542">
        <v>0</v>
      </c>
      <c r="I384" s="543">
        <v>0</v>
      </c>
      <c r="J384" s="544">
        <v>0</v>
      </c>
      <c r="K384" s="548">
        <v>0</v>
      </c>
    </row>
    <row r="385" spans="1:11" ht="67.5" customHeight="1" x14ac:dyDescent="0.5">
      <c r="A385" s="288" t="s">
        <v>210</v>
      </c>
      <c r="B385" s="540" t="s">
        <v>916</v>
      </c>
      <c r="C385" s="541" t="s">
        <v>211</v>
      </c>
      <c r="D385" s="295"/>
      <c r="E385" s="542">
        <v>0</v>
      </c>
      <c r="F385" s="543">
        <v>0</v>
      </c>
      <c r="G385" s="544">
        <v>0</v>
      </c>
      <c r="H385" s="542">
        <v>0</v>
      </c>
      <c r="I385" s="543">
        <v>0.12499999999999997</v>
      </c>
      <c r="J385" s="544">
        <v>0.12727272727272862</v>
      </c>
      <c r="K385" s="548">
        <v>0</v>
      </c>
    </row>
    <row r="386" spans="1:11" ht="67.5" customHeight="1" x14ac:dyDescent="0.5">
      <c r="A386" s="288" t="s">
        <v>859</v>
      </c>
      <c r="B386" s="540" t="s">
        <v>916</v>
      </c>
      <c r="C386" s="541" t="s">
        <v>860</v>
      </c>
      <c r="D386" s="295"/>
      <c r="E386" s="542">
        <v>0.25</v>
      </c>
      <c r="F386" s="543">
        <v>0.25</v>
      </c>
      <c r="G386" s="544">
        <v>0.5</v>
      </c>
      <c r="H386" s="542">
        <v>1.5789473684210468E-2</v>
      </c>
      <c r="I386" s="543">
        <v>0</v>
      </c>
      <c r="J386" s="544">
        <v>0</v>
      </c>
      <c r="K386" s="548">
        <v>0.41206346703627711</v>
      </c>
    </row>
    <row r="387" spans="1:11" ht="67.5" customHeight="1" x14ac:dyDescent="0.5">
      <c r="A387" s="288" t="s">
        <v>845</v>
      </c>
      <c r="B387" s="540" t="s">
        <v>916</v>
      </c>
      <c r="C387" s="541" t="s">
        <v>846</v>
      </c>
      <c r="D387" s="295"/>
      <c r="E387" s="542">
        <v>0</v>
      </c>
      <c r="F387" s="543">
        <v>0</v>
      </c>
      <c r="G387" s="544">
        <v>0</v>
      </c>
      <c r="H387" s="542">
        <v>7.3684210526315755E-2</v>
      </c>
      <c r="I387" s="543">
        <v>0</v>
      </c>
      <c r="J387" s="544">
        <v>8.3333333333333329E-2</v>
      </c>
      <c r="K387" s="548">
        <v>0</v>
      </c>
    </row>
    <row r="388" spans="1:11" ht="67.5" customHeight="1" x14ac:dyDescent="0.5">
      <c r="A388" s="288" t="s">
        <v>144</v>
      </c>
      <c r="B388" s="540" t="s">
        <v>916</v>
      </c>
      <c r="C388" s="541" t="s">
        <v>145</v>
      </c>
      <c r="D388" s="295" t="s">
        <v>964</v>
      </c>
      <c r="E388" s="542">
        <v>0</v>
      </c>
      <c r="F388" s="543">
        <v>0</v>
      </c>
      <c r="G388" s="544">
        <v>0</v>
      </c>
      <c r="H388" s="542">
        <v>0</v>
      </c>
      <c r="I388" s="543">
        <v>0</v>
      </c>
      <c r="J388" s="544">
        <v>0</v>
      </c>
      <c r="K388" s="548">
        <v>0</v>
      </c>
    </row>
    <row r="389" spans="1:11" ht="67.5" customHeight="1" x14ac:dyDescent="0.5">
      <c r="A389" s="288" t="s">
        <v>561</v>
      </c>
      <c r="B389" s="540" t="s">
        <v>916</v>
      </c>
      <c r="C389" s="541" t="s">
        <v>562</v>
      </c>
      <c r="D389" s="295"/>
      <c r="E389" s="542">
        <v>0</v>
      </c>
      <c r="F389" s="543">
        <v>0</v>
      </c>
      <c r="G389" s="544">
        <v>0</v>
      </c>
      <c r="H389" s="542">
        <v>0</v>
      </c>
      <c r="I389" s="543">
        <v>0</v>
      </c>
      <c r="J389" s="544">
        <v>0</v>
      </c>
      <c r="K389" s="548">
        <v>0.11399441223958609</v>
      </c>
    </row>
    <row r="390" spans="1:11" ht="67.5" customHeight="1" x14ac:dyDescent="0.5">
      <c r="A390" s="288" t="s">
        <v>491</v>
      </c>
      <c r="B390" s="540" t="s">
        <v>916</v>
      </c>
      <c r="C390" s="541" t="s">
        <v>492</v>
      </c>
      <c r="D390" s="295"/>
      <c r="E390" s="542">
        <v>0</v>
      </c>
      <c r="F390" s="543">
        <v>0</v>
      </c>
      <c r="G390" s="544">
        <v>0</v>
      </c>
      <c r="H390" s="542">
        <v>7.3684210526315755E-2</v>
      </c>
      <c r="I390" s="543">
        <v>0</v>
      </c>
      <c r="J390" s="544">
        <v>0</v>
      </c>
      <c r="K390" s="548">
        <v>0</v>
      </c>
    </row>
    <row r="391" spans="1:11" ht="67.5" customHeight="1" x14ac:dyDescent="0.5">
      <c r="A391" s="288" t="s">
        <v>443</v>
      </c>
      <c r="B391" s="540" t="s">
        <v>916</v>
      </c>
      <c r="C391" s="541" t="s">
        <v>444</v>
      </c>
      <c r="D391" s="295"/>
      <c r="E391" s="542">
        <v>0.5</v>
      </c>
      <c r="F391" s="543">
        <v>0</v>
      </c>
      <c r="G391" s="544">
        <v>0.25</v>
      </c>
      <c r="H391" s="542">
        <v>0</v>
      </c>
      <c r="I391" s="543">
        <v>0</v>
      </c>
      <c r="J391" s="544">
        <v>0</v>
      </c>
      <c r="K391" s="548">
        <v>0.17086675930337755</v>
      </c>
    </row>
    <row r="392" spans="1:11" ht="67.5" customHeight="1" x14ac:dyDescent="0.5">
      <c r="A392" s="288" t="s">
        <v>78</v>
      </c>
      <c r="B392" s="540" t="s">
        <v>916</v>
      </c>
      <c r="C392" s="541" t="s">
        <v>79</v>
      </c>
      <c r="D392" s="295"/>
      <c r="E392" s="542">
        <v>0</v>
      </c>
      <c r="F392" s="543">
        <v>0</v>
      </c>
      <c r="G392" s="544">
        <v>0</v>
      </c>
      <c r="H392" s="542">
        <v>5.2631578947368286E-2</v>
      </c>
      <c r="I392" s="543">
        <v>0.18749999999999994</v>
      </c>
      <c r="J392" s="544">
        <v>0.12727272727272862</v>
      </c>
      <c r="K392" s="548">
        <v>0.245709883149556</v>
      </c>
    </row>
    <row r="393" spans="1:11" ht="67.5" customHeight="1" x14ac:dyDescent="0.5">
      <c r="A393" s="288" t="s">
        <v>48</v>
      </c>
      <c r="B393" s="540" t="s">
        <v>916</v>
      </c>
      <c r="C393" s="541" t="s">
        <v>49</v>
      </c>
      <c r="D393" s="295"/>
      <c r="E393" s="542">
        <v>0</v>
      </c>
      <c r="F393" s="543">
        <v>0.25</v>
      </c>
      <c r="G393" s="544">
        <v>0</v>
      </c>
      <c r="H393" s="542">
        <v>0</v>
      </c>
      <c r="I393" s="543">
        <v>0</v>
      </c>
      <c r="J393" s="544">
        <v>0</v>
      </c>
      <c r="K393" s="548">
        <v>5.2112697127909516E-2</v>
      </c>
    </row>
    <row r="394" spans="1:11" ht="67.5" customHeight="1" x14ac:dyDescent="0.5">
      <c r="A394" s="288" t="s">
        <v>549</v>
      </c>
      <c r="B394" s="540" t="s">
        <v>916</v>
      </c>
      <c r="C394" s="541" t="s">
        <v>550</v>
      </c>
      <c r="D394" s="295"/>
      <c r="E394" s="542">
        <v>0</v>
      </c>
      <c r="F394" s="543">
        <v>0</v>
      </c>
      <c r="G394" s="544">
        <v>0</v>
      </c>
      <c r="H394" s="542">
        <v>0</v>
      </c>
      <c r="I394" s="543">
        <v>0</v>
      </c>
      <c r="J394" s="544">
        <v>0</v>
      </c>
      <c r="K394" s="548">
        <v>0</v>
      </c>
    </row>
    <row r="395" spans="1:11" ht="67.5" customHeight="1" x14ac:dyDescent="0.5">
      <c r="A395" s="288" t="s">
        <v>174</v>
      </c>
      <c r="B395" s="540" t="s">
        <v>916</v>
      </c>
      <c r="C395" s="541" t="s">
        <v>175</v>
      </c>
      <c r="D395" s="295"/>
      <c r="E395" s="542">
        <v>0</v>
      </c>
      <c r="F395" s="543">
        <v>0</v>
      </c>
      <c r="G395" s="544">
        <v>0</v>
      </c>
      <c r="H395" s="542">
        <v>0</v>
      </c>
      <c r="I395" s="543">
        <v>0.25</v>
      </c>
      <c r="J395" s="544">
        <v>0.2000000000000012</v>
      </c>
      <c r="K395" s="548">
        <v>0.40011062832863775</v>
      </c>
    </row>
    <row r="396" spans="1:11" ht="67.5" customHeight="1" x14ac:dyDescent="0.5">
      <c r="A396" s="288" t="s">
        <v>761</v>
      </c>
      <c r="B396" s="540" t="s">
        <v>916</v>
      </c>
      <c r="C396" s="541" t="s">
        <v>762</v>
      </c>
      <c r="D396" s="295"/>
      <c r="E396" s="542">
        <v>0</v>
      </c>
      <c r="F396" s="543">
        <v>0</v>
      </c>
      <c r="G396" s="544">
        <v>0</v>
      </c>
      <c r="H396" s="542">
        <v>0.1578947368421052</v>
      </c>
      <c r="I396" s="543">
        <v>0.25</v>
      </c>
      <c r="J396" s="544">
        <v>0.50877192982456132</v>
      </c>
      <c r="K396" s="548">
        <v>0.81101212903394648</v>
      </c>
    </row>
    <row r="397" spans="1:11" ht="67.5" customHeight="1" x14ac:dyDescent="0.5">
      <c r="A397" s="288" t="s">
        <v>881</v>
      </c>
      <c r="B397" s="540" t="s">
        <v>916</v>
      </c>
      <c r="C397" s="541" t="s">
        <v>882</v>
      </c>
      <c r="D397" s="295"/>
      <c r="E397" s="542">
        <v>0.75</v>
      </c>
      <c r="F397" s="543">
        <v>1</v>
      </c>
      <c r="G397" s="544">
        <v>1</v>
      </c>
      <c r="H397" s="542">
        <v>0</v>
      </c>
      <c r="I397" s="543">
        <v>0</v>
      </c>
      <c r="J397" s="544">
        <v>0</v>
      </c>
      <c r="K397" s="548">
        <v>0</v>
      </c>
    </row>
    <row r="398" spans="1:11" ht="67.5" customHeight="1" x14ac:dyDescent="0.5">
      <c r="A398" s="288" t="s">
        <v>614</v>
      </c>
      <c r="B398" s="540" t="s">
        <v>916</v>
      </c>
      <c r="C398" s="541" t="s">
        <v>615</v>
      </c>
      <c r="D398" s="295"/>
      <c r="E398" s="542">
        <v>0.25</v>
      </c>
      <c r="F398" s="543">
        <v>0.25</v>
      </c>
      <c r="G398" s="544">
        <v>0</v>
      </c>
      <c r="H398" s="542">
        <v>0</v>
      </c>
      <c r="I398" s="543">
        <v>0</v>
      </c>
      <c r="J398" s="544">
        <v>3.0303030303030203E-2</v>
      </c>
      <c r="K398" s="548">
        <v>0.14459872717534272</v>
      </c>
    </row>
    <row r="399" spans="1:11" ht="67.5" customHeight="1" x14ac:dyDescent="0.5">
      <c r="A399" s="291" t="s">
        <v>42</v>
      </c>
      <c r="B399" s="584" t="s">
        <v>937</v>
      </c>
      <c r="C399" s="585" t="s">
        <v>43</v>
      </c>
      <c r="D399" s="294"/>
      <c r="E399" s="586">
        <v>0</v>
      </c>
      <c r="F399" s="587">
        <v>0</v>
      </c>
      <c r="G399" s="588">
        <v>0</v>
      </c>
      <c r="H399" s="586">
        <v>5.2631578947368286E-2</v>
      </c>
      <c r="I399" s="587">
        <v>0</v>
      </c>
      <c r="J399" s="588">
        <v>0</v>
      </c>
      <c r="K399" s="545">
        <v>0</v>
      </c>
    </row>
    <row r="400" spans="1:11" ht="67.5" customHeight="1" x14ac:dyDescent="0.5">
      <c r="A400" s="288" t="s">
        <v>706</v>
      </c>
      <c r="B400" s="540" t="s">
        <v>937</v>
      </c>
      <c r="C400" s="541" t="s">
        <v>707</v>
      </c>
      <c r="D400" s="295"/>
      <c r="E400" s="542">
        <v>0</v>
      </c>
      <c r="F400" s="543">
        <v>0</v>
      </c>
      <c r="G400" s="544">
        <v>0</v>
      </c>
      <c r="H400" s="542">
        <v>0</v>
      </c>
      <c r="I400" s="543">
        <v>0</v>
      </c>
      <c r="J400" s="544">
        <v>0</v>
      </c>
      <c r="K400" s="548">
        <v>0</v>
      </c>
    </row>
    <row r="401" spans="1:11" ht="67.5" customHeight="1" thickBot="1" x14ac:dyDescent="0.55000000000000004">
      <c r="A401" s="293" t="s">
        <v>777</v>
      </c>
      <c r="B401" s="594" t="s">
        <v>937</v>
      </c>
      <c r="C401" s="595" t="s">
        <v>778</v>
      </c>
      <c r="D401" s="300"/>
      <c r="E401" s="596">
        <v>0</v>
      </c>
      <c r="F401" s="597">
        <v>0.25</v>
      </c>
      <c r="G401" s="598">
        <v>0</v>
      </c>
      <c r="H401" s="596">
        <v>7.3684210526315755E-2</v>
      </c>
      <c r="I401" s="597">
        <v>0.16666666666666677</v>
      </c>
      <c r="J401" s="598">
        <v>0.33333333333333331</v>
      </c>
      <c r="K401" s="599">
        <v>0.3153670066200624</v>
      </c>
    </row>
    <row r="402" spans="1:11" ht="67.5" customHeight="1" x14ac:dyDescent="0.5">
      <c r="A402" s="285"/>
      <c r="B402" s="301"/>
      <c r="C402" s="285"/>
      <c r="D402" s="301"/>
    </row>
    <row r="403" spans="1:11" ht="67.5" customHeight="1" x14ac:dyDescent="0.5">
      <c r="A403" s="285"/>
      <c r="B403" s="301"/>
      <c r="C403" s="285"/>
      <c r="D403" s="301"/>
    </row>
    <row r="404" spans="1:11" ht="67.5" customHeight="1" x14ac:dyDescent="0.5">
      <c r="A404" s="285"/>
      <c r="B404" s="301"/>
      <c r="C404" s="285"/>
      <c r="D404" s="600"/>
    </row>
    <row r="405" spans="1:11" ht="67.5" customHeight="1" x14ac:dyDescent="0.5">
      <c r="A405" s="285"/>
      <c r="B405" s="301"/>
      <c r="C405" s="285"/>
      <c r="D405" s="301"/>
    </row>
    <row r="406" spans="1:11" ht="67.5" customHeight="1" x14ac:dyDescent="0.5">
      <c r="A406" s="285"/>
      <c r="B406" s="301"/>
      <c r="C406" s="285"/>
      <c r="D406" s="301"/>
    </row>
  </sheetData>
  <sortState xmlns:xlrd2="http://schemas.microsoft.com/office/spreadsheetml/2017/richdata2" ref="A2:K401">
    <sortCondition ref="B2:B401"/>
    <sortCondition ref="A2:A401"/>
  </sortState>
  <conditionalFormatting sqref="L16">
    <cfRule type="cellIs" dxfId="3" priority="3" operator="between">
      <formula>0.4</formula>
      <formula>0.74</formula>
    </cfRule>
    <cfRule type="cellIs" dxfId="2" priority="4" operator="greaterThanOrEqual">
      <formula>0.75</formula>
    </cfRule>
  </conditionalFormatting>
  <conditionalFormatting sqref="E2:K401">
    <cfRule type="cellIs" dxfId="1" priority="2" operator="greaterThan">
      <formula>0.51</formula>
    </cfRule>
  </conditionalFormatting>
  <conditionalFormatting sqref="A1:K401">
    <cfRule type="cellIs" priority="1" operator="greaterThanOrEqual">
      <formula>0.5</formula>
    </cfRule>
  </conditionalFormatting>
  <pageMargins left="0.7" right="0.7" top="0.75" bottom="0.75" header="0.3" footer="0.3"/>
  <pageSetup paperSize="9" scale="22" fitToHeight="999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__JChemStructureSheet</vt:lpstr>
      <vt:lpstr>Table S1</vt:lpstr>
      <vt:lpstr>Table S2 </vt:lpstr>
      <vt:lpstr>Table S3</vt:lpstr>
      <vt:lpstr>Table S4 </vt:lpstr>
      <vt:lpstr>Table S5</vt:lpstr>
      <vt:lpstr>Table S6</vt:lpstr>
      <vt:lpstr>Table S7</vt:lpstr>
      <vt:lpstr>Table S8</vt:lpstr>
      <vt:lpstr>Table S9 </vt:lpstr>
      <vt:lpstr>'Table S8'!Print_Area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Conor Caffrey</dc:creator>
  <cp:lastModifiedBy>Valérian Pasche</cp:lastModifiedBy>
  <cp:lastPrinted>2019-07-30T13:06:19Z</cp:lastPrinted>
  <dcterms:created xsi:type="dcterms:W3CDTF">2018-07-24T18:46:35Z</dcterms:created>
  <dcterms:modified xsi:type="dcterms:W3CDTF">2019-10-08T14:50:43Z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ChemExcelWorkbookGUID">
    <vt:lpwstr>7713cf61-a212-459b-b84a-917e19f0eae7</vt:lpwstr>
  </property>
  <property fmtid="{D5CDD505-2E9C-101B-9397-08002B2CF9AE}" pid="3" name="JChemExcelVersion">
    <vt:lpwstr>5.4.1</vt:lpwstr>
  </property>
</Properties>
</file>