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uscos/Dropbox/Marty&amp;Salva/Manuscript SSF Bacillus after Calle's revisions 13-06-2018/Submition to Biotechnol Biofuels 17:10:2018/2. Minor revision January 2019/Calle and David/Calle 17-Jan/"/>
    </mc:Choice>
  </mc:AlternateContent>
  <xr:revisionPtr revIDLastSave="0" documentId="13_ncr:1_{740664F0-D329-6A4D-A39A-4FB817F22749}" xr6:coauthVersionLast="36" xr6:coauthVersionMax="36" xr10:uidLastSave="{00000000-0000-0000-0000-000000000000}"/>
  <bookViews>
    <workbookView xWindow="0" yWindow="460" windowWidth="30720" windowHeight="13720" xr2:uid="{00000000-000D-0000-FFFF-FFFF00000000}"/>
  </bookViews>
  <sheets>
    <sheet name="Summary of Excel file" sheetId="14" r:id="rId1"/>
    <sheet name="1 Samples" sheetId="13" r:id="rId2"/>
    <sheet name="2 Raw data HPLC " sheetId="12" r:id="rId3"/>
    <sheet name="3 Sugar recovery standards" sheetId="1" r:id="rId4"/>
    <sheet name="4 Amount of released glucose" sheetId="2" r:id="rId5"/>
    <sheet name="5 No pre-adapt. X=5mg" sheetId="4" r:id="rId6"/>
    <sheet name="6 No pre-adapt. X=10mg" sheetId="5" r:id="rId7"/>
    <sheet name="7 30% adapt. X=5mg" sheetId="6" r:id="rId8"/>
    <sheet name="8 30% adapt. X=10" sheetId="7" r:id="rId9"/>
    <sheet name="9 40% adapt., X=5mg" sheetId="8" r:id="rId10"/>
    <sheet name="10 40% adapt. X=10mg" sheetId="16" r:id="rId11"/>
    <sheet name="11 50% adapt. X=10mg" sheetId="10" r:id="rId12"/>
    <sheet name="12 Overview" sheetId="11" r:id="rId13"/>
    <sheet name="13 Additional graphs" sheetId="1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4" l="1"/>
  <c r="AA12" i="16" l="1"/>
  <c r="AB12" i="16" s="1"/>
  <c r="AA23" i="16" l="1"/>
  <c r="D20" i="11" s="1"/>
  <c r="Z20" i="16"/>
  <c r="AC20" i="16" s="1"/>
  <c r="X20" i="16"/>
  <c r="V20" i="16"/>
  <c r="AA19" i="16"/>
  <c r="Z19" i="16"/>
  <c r="AC19" i="16" s="1"/>
  <c r="X19" i="16"/>
  <c r="V19" i="16"/>
  <c r="AA18" i="16"/>
  <c r="AB18" i="16" s="1"/>
  <c r="Z18" i="16"/>
  <c r="AC18" i="16" s="1"/>
  <c r="X18" i="16"/>
  <c r="V18" i="16"/>
  <c r="AA17" i="16"/>
  <c r="AB17" i="16" s="1"/>
  <c r="Z17" i="16"/>
  <c r="AC17" i="16" s="1"/>
  <c r="X17" i="16"/>
  <c r="V17" i="16"/>
  <c r="AA16" i="16"/>
  <c r="AB16" i="16" s="1"/>
  <c r="Z16" i="16"/>
  <c r="AC16" i="16" s="1"/>
  <c r="X16" i="16"/>
  <c r="V16" i="16"/>
  <c r="H16" i="16"/>
  <c r="H17" i="16" s="1"/>
  <c r="AA15" i="16"/>
  <c r="AB15" i="16" s="1"/>
  <c r="Z15" i="16"/>
  <c r="AC15" i="16" s="1"/>
  <c r="X15" i="16"/>
  <c r="V15" i="16"/>
  <c r="H15" i="16"/>
  <c r="AA14" i="16"/>
  <c r="AB14" i="16" s="1"/>
  <c r="Z14" i="16"/>
  <c r="AC14" i="16" s="1"/>
  <c r="X14" i="16"/>
  <c r="V14" i="16"/>
  <c r="AA13" i="16"/>
  <c r="AB13" i="16" s="1"/>
  <c r="Z13" i="16"/>
  <c r="AC13" i="16" s="1"/>
  <c r="X13" i="16"/>
  <c r="V13" i="16"/>
  <c r="Z12" i="16"/>
  <c r="AC12" i="16" s="1"/>
  <c r="X12" i="16"/>
  <c r="V12" i="16"/>
  <c r="K12" i="16"/>
  <c r="K15" i="16" s="1"/>
  <c r="Z11" i="16"/>
  <c r="AC11" i="16" s="1"/>
  <c r="X11" i="16"/>
  <c r="V11" i="16"/>
  <c r="H11" i="16"/>
  <c r="X22" i="16" s="1"/>
  <c r="D9" i="16"/>
  <c r="H45" i="10"/>
  <c r="E9" i="16" l="1"/>
  <c r="Q11" i="16" s="1"/>
  <c r="H12" i="16"/>
  <c r="Y11" i="16"/>
  <c r="AA22" i="16"/>
  <c r="C20" i="11" s="1"/>
  <c r="Y17" i="16"/>
  <c r="Y15" i="16"/>
  <c r="Y13" i="16"/>
  <c r="Y12" i="16"/>
  <c r="Y20" i="16"/>
  <c r="Y19" i="16"/>
  <c r="Y18" i="16"/>
  <c r="Y16" i="16"/>
  <c r="Y14" i="16"/>
  <c r="K14" i="16"/>
  <c r="H18" i="16"/>
  <c r="E10" i="16" l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N11" i="16" s="1"/>
  <c r="AB22" i="16"/>
  <c r="AB23" i="16"/>
  <c r="AA23" i="6"/>
  <c r="AA57" i="5"/>
  <c r="H50" i="5"/>
  <c r="V16" i="5"/>
  <c r="V15" i="5"/>
  <c r="V17" i="5"/>
  <c r="Z17" i="5"/>
  <c r="AC17" i="5" s="1"/>
  <c r="Z16" i="5"/>
  <c r="AC16" i="5" s="1"/>
  <c r="Z15" i="5"/>
  <c r="AC15" i="5" s="1"/>
  <c r="H15" i="5"/>
  <c r="X26" i="5" s="1"/>
  <c r="Y15" i="5" s="1"/>
  <c r="V18" i="5"/>
  <c r="Z18" i="5"/>
  <c r="AC18" i="5" s="1"/>
  <c r="V19" i="5"/>
  <c r="Z19" i="5"/>
  <c r="AC19" i="5" s="1"/>
  <c r="V20" i="5"/>
  <c r="Z20" i="5"/>
  <c r="AC20" i="5" s="1"/>
  <c r="V21" i="5"/>
  <c r="Z21" i="5"/>
  <c r="AC21" i="5" s="1"/>
  <c r="V22" i="5"/>
  <c r="Z22" i="5"/>
  <c r="AC22" i="5" s="1"/>
  <c r="V23" i="5"/>
  <c r="Z23" i="5"/>
  <c r="AC23" i="5" s="1"/>
  <c r="V24" i="5"/>
  <c r="Z24" i="5"/>
  <c r="AC24" i="5" s="1"/>
  <c r="AA16" i="5"/>
  <c r="AB16" i="5" s="1"/>
  <c r="AA17" i="5"/>
  <c r="AB17" i="5" s="1"/>
  <c r="AA18" i="5"/>
  <c r="AB18" i="5" s="1"/>
  <c r="AA19" i="5"/>
  <c r="AB19" i="5" s="1"/>
  <c r="AA20" i="5"/>
  <c r="AB20" i="5" s="1"/>
  <c r="AA21" i="5"/>
  <c r="AB21" i="5" s="1"/>
  <c r="AA22" i="5"/>
  <c r="AB22" i="5" s="1"/>
  <c r="AA23" i="5"/>
  <c r="AB23" i="5" s="1"/>
  <c r="K16" i="5"/>
  <c r="K19" i="5" s="1"/>
  <c r="H20" i="5"/>
  <c r="K12" i="4"/>
  <c r="K15" i="4" s="1"/>
  <c r="H17" i="4"/>
  <c r="H18" i="4" s="1"/>
  <c r="V15" i="4"/>
  <c r="V14" i="4"/>
  <c r="V16" i="4"/>
  <c r="Z16" i="4"/>
  <c r="AC16" i="4" s="1"/>
  <c r="Z15" i="4"/>
  <c r="AC15" i="4" s="1"/>
  <c r="Z14" i="4"/>
  <c r="AC14" i="4" s="1"/>
  <c r="H11" i="4"/>
  <c r="X24" i="4" s="1"/>
  <c r="V11" i="4"/>
  <c r="V12" i="4"/>
  <c r="V13" i="4"/>
  <c r="V17" i="4"/>
  <c r="Z17" i="4"/>
  <c r="AC17" i="4" s="1"/>
  <c r="V18" i="4"/>
  <c r="Z18" i="4"/>
  <c r="AC18" i="4" s="1"/>
  <c r="V19" i="4"/>
  <c r="Z19" i="4"/>
  <c r="D16" i="4"/>
  <c r="V20" i="4"/>
  <c r="Z20" i="4"/>
  <c r="AC20" i="4" s="1"/>
  <c r="V21" i="4"/>
  <c r="Z21" i="4"/>
  <c r="AC21" i="4" s="1"/>
  <c r="D18" i="4"/>
  <c r="V22" i="4"/>
  <c r="Z22" i="4"/>
  <c r="AC22" i="4" s="1"/>
  <c r="V46" i="10"/>
  <c r="V45" i="10"/>
  <c r="V47" i="10"/>
  <c r="Z47" i="10"/>
  <c r="AC47" i="10" s="1"/>
  <c r="Z46" i="10"/>
  <c r="AC46" i="10" s="1"/>
  <c r="Z45" i="10"/>
  <c r="AC45" i="10" s="1"/>
  <c r="X56" i="10"/>
  <c r="Y45" i="10" s="1"/>
  <c r="V48" i="10"/>
  <c r="Z48" i="10"/>
  <c r="AC48" i="10" s="1"/>
  <c r="V49" i="10"/>
  <c r="Z49" i="10"/>
  <c r="AC49" i="10" s="1"/>
  <c r="V50" i="10"/>
  <c r="Z50" i="10"/>
  <c r="V51" i="10"/>
  <c r="Z51" i="10"/>
  <c r="D48" i="10"/>
  <c r="V52" i="10"/>
  <c r="Z52" i="10"/>
  <c r="AC52" i="10" s="1"/>
  <c r="D49" i="10"/>
  <c r="V16" i="10"/>
  <c r="V15" i="10"/>
  <c r="V17" i="10"/>
  <c r="Z17" i="10"/>
  <c r="AC17" i="10" s="1"/>
  <c r="Z16" i="10"/>
  <c r="AC16" i="10" s="1"/>
  <c r="Z15" i="10"/>
  <c r="AC15" i="10" s="1"/>
  <c r="H15" i="10"/>
  <c r="X26" i="10" s="1"/>
  <c r="V18" i="10"/>
  <c r="Z18" i="10"/>
  <c r="AC18" i="10" s="1"/>
  <c r="V19" i="10"/>
  <c r="Z19" i="10"/>
  <c r="V20" i="10"/>
  <c r="Z20" i="10"/>
  <c r="V21" i="10"/>
  <c r="Z21" i="10"/>
  <c r="V22" i="10"/>
  <c r="Z22" i="10"/>
  <c r="V46" i="7"/>
  <c r="V45" i="7"/>
  <c r="V47" i="7"/>
  <c r="Z47" i="7"/>
  <c r="AC47" i="7" s="1"/>
  <c r="Z46" i="7"/>
  <c r="AC46" i="7" s="1"/>
  <c r="Z45" i="7"/>
  <c r="AC45" i="7" s="1"/>
  <c r="D44" i="7"/>
  <c r="H45" i="7"/>
  <c r="X56" i="7" s="1"/>
  <c r="V48" i="7"/>
  <c r="Z48" i="7"/>
  <c r="AC48" i="7" s="1"/>
  <c r="D45" i="7"/>
  <c r="V49" i="7"/>
  <c r="Z49" i="7"/>
  <c r="AC49" i="7" s="1"/>
  <c r="D46" i="7"/>
  <c r="V50" i="7"/>
  <c r="Z50" i="7"/>
  <c r="AC50" i="7" s="1"/>
  <c r="D47" i="7"/>
  <c r="V16" i="7"/>
  <c r="V15" i="7"/>
  <c r="V17" i="7"/>
  <c r="Z17" i="7"/>
  <c r="AC17" i="7" s="1"/>
  <c r="Z16" i="7"/>
  <c r="AC16" i="7" s="1"/>
  <c r="AD16" i="7" s="1"/>
  <c r="Z15" i="7"/>
  <c r="AC15" i="7" s="1"/>
  <c r="H15" i="7"/>
  <c r="X26" i="7" s="1"/>
  <c r="Y15" i="7" s="1"/>
  <c r="V18" i="7"/>
  <c r="Z18" i="7"/>
  <c r="AC18" i="7" s="1"/>
  <c r="V19" i="7"/>
  <c r="Z19" i="7"/>
  <c r="AC19" i="7" s="1"/>
  <c r="AD19" i="7" s="1"/>
  <c r="V20" i="7"/>
  <c r="Z20" i="7"/>
  <c r="AC20" i="7" s="1"/>
  <c r="V46" i="5"/>
  <c r="V45" i="5"/>
  <c r="V47" i="5"/>
  <c r="Z47" i="5"/>
  <c r="AC47" i="5" s="1"/>
  <c r="Z46" i="5"/>
  <c r="AC46" i="5" s="1"/>
  <c r="Z45" i="5"/>
  <c r="AC45" i="5" s="1"/>
  <c r="D44" i="5"/>
  <c r="H45" i="5"/>
  <c r="X56" i="5" s="1"/>
  <c r="V48" i="5"/>
  <c r="Z48" i="5"/>
  <c r="AC48" i="5" s="1"/>
  <c r="D45" i="5"/>
  <c r="V49" i="5"/>
  <c r="Z49" i="5"/>
  <c r="AC49" i="5" s="1"/>
  <c r="D46" i="5"/>
  <c r="V50" i="5"/>
  <c r="Z50" i="5"/>
  <c r="AC50" i="5" s="1"/>
  <c r="D47" i="5"/>
  <c r="V51" i="5"/>
  <c r="Z51" i="5"/>
  <c r="AC51" i="5" s="1"/>
  <c r="D48" i="5"/>
  <c r="V52" i="5"/>
  <c r="Z52" i="5"/>
  <c r="AC52" i="5" s="1"/>
  <c r="D49" i="5"/>
  <c r="V53" i="5"/>
  <c r="Z53" i="5"/>
  <c r="AC53" i="5" s="1"/>
  <c r="D50" i="5"/>
  <c r="V54" i="5"/>
  <c r="Z54" i="5"/>
  <c r="AC54" i="5" s="1"/>
  <c r="D51" i="5"/>
  <c r="AA57" i="10"/>
  <c r="AA27" i="10"/>
  <c r="X66" i="10"/>
  <c r="D21" i="11" s="1"/>
  <c r="AA57" i="7"/>
  <c r="AA27" i="7"/>
  <c r="AA27" i="5"/>
  <c r="AA46" i="10"/>
  <c r="AB46" i="10" s="1"/>
  <c r="AA47" i="10"/>
  <c r="AB47" i="10" s="1"/>
  <c r="AA48" i="10"/>
  <c r="AB48" i="10" s="1"/>
  <c r="AA49" i="10"/>
  <c r="AB49" i="10" s="1"/>
  <c r="AA50" i="10"/>
  <c r="AB50" i="10" s="1"/>
  <c r="AA51" i="10"/>
  <c r="AA16" i="10"/>
  <c r="AB16" i="10" s="1"/>
  <c r="AA17" i="10"/>
  <c r="AB17" i="10" s="1"/>
  <c r="AA18" i="10"/>
  <c r="AB18" i="10" s="1"/>
  <c r="AA19" i="10"/>
  <c r="AB19" i="10" s="1"/>
  <c r="AA20" i="10"/>
  <c r="AB20" i="10" s="1"/>
  <c r="AA21" i="10"/>
  <c r="AB21" i="10" s="1"/>
  <c r="AA46" i="7"/>
  <c r="AA47" i="7"/>
  <c r="AA48" i="7"/>
  <c r="AA49" i="7"/>
  <c r="AB49" i="7" s="1"/>
  <c r="AA16" i="7"/>
  <c r="AA17" i="7"/>
  <c r="AB17" i="7" s="1"/>
  <c r="AA18" i="7"/>
  <c r="AB18" i="7" s="1"/>
  <c r="AA19" i="7"/>
  <c r="AB19" i="7" s="1"/>
  <c r="AA46" i="5"/>
  <c r="AA47" i="5"/>
  <c r="AB47" i="5" s="1"/>
  <c r="AA48" i="5"/>
  <c r="AB48" i="5" s="1"/>
  <c r="AA49" i="5"/>
  <c r="AA50" i="5"/>
  <c r="AA51" i="5"/>
  <c r="AB51" i="5" s="1"/>
  <c r="AA52" i="5"/>
  <c r="AB52" i="5" s="1"/>
  <c r="AA53" i="5"/>
  <c r="K46" i="10"/>
  <c r="E43" i="10" s="1"/>
  <c r="H50" i="10"/>
  <c r="K16" i="10"/>
  <c r="H20" i="10"/>
  <c r="K46" i="7"/>
  <c r="H50" i="7"/>
  <c r="K16" i="7"/>
  <c r="H20" i="7"/>
  <c r="H21" i="7" s="1"/>
  <c r="K19" i="7"/>
  <c r="K46" i="5"/>
  <c r="K49" i="5"/>
  <c r="B28" i="2"/>
  <c r="D12" i="1"/>
  <c r="E12" i="1" s="1"/>
  <c r="B12" i="1"/>
  <c r="C12" i="1"/>
  <c r="D13" i="1"/>
  <c r="B13" i="1"/>
  <c r="C13" i="1" s="1"/>
  <c r="D14" i="1"/>
  <c r="B14" i="1"/>
  <c r="C14" i="1"/>
  <c r="B29" i="2"/>
  <c r="B30" i="2"/>
  <c r="B31" i="2"/>
  <c r="B32" i="2"/>
  <c r="B33" i="2"/>
  <c r="B34" i="2"/>
  <c r="B35" i="2"/>
  <c r="B36" i="2"/>
  <c r="B10" i="2"/>
  <c r="B11" i="2"/>
  <c r="B12" i="2"/>
  <c r="B13" i="2"/>
  <c r="B14" i="2"/>
  <c r="B15" i="2"/>
  <c r="B16" i="2"/>
  <c r="B17" i="2"/>
  <c r="B18" i="2"/>
  <c r="D43" i="5"/>
  <c r="D50" i="7"/>
  <c r="D14" i="8"/>
  <c r="D13" i="8"/>
  <c r="D10" i="8"/>
  <c r="D52" i="10"/>
  <c r="D51" i="10"/>
  <c r="D50" i="10"/>
  <c r="D22" i="10"/>
  <c r="D21" i="10"/>
  <c r="Z54" i="10"/>
  <c r="AC54" i="10" s="1"/>
  <c r="Z53" i="10"/>
  <c r="AC53" i="10" s="1"/>
  <c r="X54" i="10"/>
  <c r="X53" i="10"/>
  <c r="X52" i="10"/>
  <c r="X51" i="10"/>
  <c r="X50" i="10"/>
  <c r="X49" i="10"/>
  <c r="X48" i="10"/>
  <c r="X47" i="10"/>
  <c r="X46" i="10"/>
  <c r="X45" i="10"/>
  <c r="Z24" i="10"/>
  <c r="AC24" i="10" s="1"/>
  <c r="AD24" i="10" s="1"/>
  <c r="Z23" i="10"/>
  <c r="AC23" i="10" s="1"/>
  <c r="AD23" i="10" s="1"/>
  <c r="X24" i="10"/>
  <c r="X23" i="10"/>
  <c r="X22" i="10"/>
  <c r="X21" i="10"/>
  <c r="X20" i="10"/>
  <c r="X19" i="10"/>
  <c r="X18" i="10"/>
  <c r="X17" i="10"/>
  <c r="X16" i="10"/>
  <c r="X15" i="10"/>
  <c r="H11" i="8"/>
  <c r="V11" i="8"/>
  <c r="V12" i="8"/>
  <c r="V13" i="8"/>
  <c r="Z13" i="8"/>
  <c r="AC13" i="8" s="1"/>
  <c r="Z12" i="8"/>
  <c r="AC12" i="8" s="1"/>
  <c r="Z11" i="8"/>
  <c r="AC11" i="8" s="1"/>
  <c r="V14" i="8"/>
  <c r="Z14" i="8"/>
  <c r="AC14" i="8" s="1"/>
  <c r="V15" i="8"/>
  <c r="V16" i="8"/>
  <c r="Z16" i="8"/>
  <c r="AC16" i="8" s="1"/>
  <c r="Z15" i="8"/>
  <c r="AC15" i="8" s="1"/>
  <c r="V17" i="8"/>
  <c r="Z17" i="8"/>
  <c r="AC17" i="8" s="1"/>
  <c r="V18" i="8"/>
  <c r="Z18" i="8"/>
  <c r="AC18" i="8" s="1"/>
  <c r="V19" i="8"/>
  <c r="Z19" i="8"/>
  <c r="AC19" i="8" s="1"/>
  <c r="V20" i="8"/>
  <c r="Z20" i="8"/>
  <c r="AC20" i="8" s="1"/>
  <c r="AA12" i="8"/>
  <c r="AA13" i="8"/>
  <c r="AB13" i="8" s="1"/>
  <c r="AA14" i="8"/>
  <c r="AA15" i="8"/>
  <c r="AB15" i="8" s="1"/>
  <c r="AA16" i="8"/>
  <c r="AB16" i="8" s="1"/>
  <c r="AA17" i="8"/>
  <c r="AB17" i="8" s="1"/>
  <c r="AA18" i="8"/>
  <c r="AB18" i="8" s="1"/>
  <c r="AA19" i="8"/>
  <c r="AB19" i="8" s="1"/>
  <c r="X20" i="8"/>
  <c r="X19" i="8"/>
  <c r="X18" i="8"/>
  <c r="X17" i="8"/>
  <c r="X16" i="8"/>
  <c r="X15" i="8"/>
  <c r="X14" i="8"/>
  <c r="X13" i="8"/>
  <c r="X12" i="8"/>
  <c r="X11" i="8"/>
  <c r="K12" i="8"/>
  <c r="H16" i="8"/>
  <c r="Z54" i="7"/>
  <c r="AC54" i="7" s="1"/>
  <c r="Z53" i="7"/>
  <c r="AC53" i="7" s="1"/>
  <c r="Z52" i="7"/>
  <c r="AC52" i="7" s="1"/>
  <c r="Z51" i="7"/>
  <c r="AC51" i="7" s="1"/>
  <c r="D52" i="7"/>
  <c r="V51" i="7"/>
  <c r="V52" i="7"/>
  <c r="V53" i="7"/>
  <c r="D51" i="7"/>
  <c r="D49" i="7"/>
  <c r="D48" i="7"/>
  <c r="D43" i="7"/>
  <c r="X54" i="7"/>
  <c r="X53" i="7"/>
  <c r="X52" i="7"/>
  <c r="X51" i="7"/>
  <c r="X50" i="7"/>
  <c r="X49" i="7"/>
  <c r="X48" i="7"/>
  <c r="X47" i="7"/>
  <c r="X46" i="7"/>
  <c r="X45" i="7"/>
  <c r="Z24" i="7"/>
  <c r="AC24" i="7" s="1"/>
  <c r="Z23" i="7"/>
  <c r="AC23" i="7" s="1"/>
  <c r="AD23" i="7" s="1"/>
  <c r="Z22" i="7"/>
  <c r="AC22" i="7" s="1"/>
  <c r="Z21" i="7"/>
  <c r="AC21" i="7" s="1"/>
  <c r="V21" i="7"/>
  <c r="V22" i="7"/>
  <c r="V23" i="7"/>
  <c r="X24" i="7"/>
  <c r="X23" i="7"/>
  <c r="X22" i="7"/>
  <c r="X21" i="7"/>
  <c r="X20" i="7"/>
  <c r="X19" i="7"/>
  <c r="X18" i="7"/>
  <c r="X17" i="7"/>
  <c r="X16" i="7"/>
  <c r="X15" i="7"/>
  <c r="V12" i="6"/>
  <c r="V11" i="6"/>
  <c r="V13" i="6"/>
  <c r="Z13" i="6"/>
  <c r="AC13" i="6" s="1"/>
  <c r="Z12" i="6"/>
  <c r="AC12" i="6" s="1"/>
  <c r="Z11" i="6"/>
  <c r="AC11" i="6" s="1"/>
  <c r="D10" i="6"/>
  <c r="H11" i="6"/>
  <c r="X22" i="6" s="1"/>
  <c r="V14" i="6"/>
  <c r="Z14" i="6"/>
  <c r="AC14" i="6" s="1"/>
  <c r="D11" i="6"/>
  <c r="V15" i="6"/>
  <c r="Z15" i="6"/>
  <c r="AC15" i="6" s="1"/>
  <c r="D12" i="6"/>
  <c r="V16" i="6"/>
  <c r="Z16" i="6"/>
  <c r="AC16" i="6" s="1"/>
  <c r="D13" i="6"/>
  <c r="V17" i="6"/>
  <c r="Z17" i="6"/>
  <c r="AC17" i="6" s="1"/>
  <c r="D14" i="6"/>
  <c r="Y16" i="6" s="1"/>
  <c r="V18" i="6"/>
  <c r="Z18" i="6"/>
  <c r="AC18" i="6" s="1"/>
  <c r="D15" i="6"/>
  <c r="AA12" i="6"/>
  <c r="AB12" i="6" s="1"/>
  <c r="AA13" i="6"/>
  <c r="AB13" i="6" s="1"/>
  <c r="AA14" i="6"/>
  <c r="AB14" i="6" s="1"/>
  <c r="AA15" i="6"/>
  <c r="AB15" i="6" s="1"/>
  <c r="AA16" i="6"/>
  <c r="AB16" i="6" s="1"/>
  <c r="AA17" i="6"/>
  <c r="AB17" i="6" s="1"/>
  <c r="AA18" i="6"/>
  <c r="AA19" i="6"/>
  <c r="AA13" i="4"/>
  <c r="AA14" i="4"/>
  <c r="AA15" i="4"/>
  <c r="AB15" i="4" s="1"/>
  <c r="AA16" i="4"/>
  <c r="AB16" i="4" s="1"/>
  <c r="AA17" i="4"/>
  <c r="AB17" i="4" s="1"/>
  <c r="AA18" i="4"/>
  <c r="AB18" i="4" s="1"/>
  <c r="AA19" i="4"/>
  <c r="AB19" i="4" s="1"/>
  <c r="AA20" i="4"/>
  <c r="AB20" i="4" s="1"/>
  <c r="AA21" i="4"/>
  <c r="AB21" i="4" s="1"/>
  <c r="Z20" i="6"/>
  <c r="AC20" i="6" s="1"/>
  <c r="Z19" i="6"/>
  <c r="AC19" i="6" s="1"/>
  <c r="V19" i="6"/>
  <c r="D17" i="6"/>
  <c r="D16" i="6"/>
  <c r="D9" i="6"/>
  <c r="X20" i="6"/>
  <c r="X19" i="6"/>
  <c r="X18" i="6"/>
  <c r="X17" i="6"/>
  <c r="X16" i="6"/>
  <c r="X15" i="6"/>
  <c r="X14" i="6"/>
  <c r="X13" i="6"/>
  <c r="X12" i="6"/>
  <c r="X11" i="6"/>
  <c r="K12" i="6"/>
  <c r="E9" i="6"/>
  <c r="Q11" i="6" s="1"/>
  <c r="H16" i="6"/>
  <c r="D52" i="5"/>
  <c r="X54" i="5"/>
  <c r="X53" i="5"/>
  <c r="X52" i="5"/>
  <c r="X51" i="5"/>
  <c r="X50" i="5"/>
  <c r="X49" i="5"/>
  <c r="X48" i="5"/>
  <c r="X47" i="5"/>
  <c r="X46" i="5"/>
  <c r="X45" i="5"/>
  <c r="X24" i="5"/>
  <c r="X23" i="5"/>
  <c r="X22" i="5"/>
  <c r="X21" i="5"/>
  <c r="X20" i="5"/>
  <c r="X19" i="5"/>
  <c r="X18" i="5"/>
  <c r="X17" i="5"/>
  <c r="X16" i="5"/>
  <c r="X15" i="5"/>
  <c r="Z13" i="4"/>
  <c r="AC13" i="4" s="1"/>
  <c r="Z12" i="4"/>
  <c r="AC12" i="4" s="1"/>
  <c r="Z11" i="4"/>
  <c r="AC11" i="4" s="1"/>
  <c r="X22" i="4"/>
  <c r="X21" i="4"/>
  <c r="X20" i="4"/>
  <c r="X19" i="4"/>
  <c r="X18" i="4"/>
  <c r="X17" i="4"/>
  <c r="X16" i="4"/>
  <c r="X15" i="4"/>
  <c r="X14" i="4"/>
  <c r="X13" i="4"/>
  <c r="X12" i="4"/>
  <c r="X11" i="4"/>
  <c r="H16" i="4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V23" i="10"/>
  <c r="V53" i="10"/>
  <c r="H19" i="10"/>
  <c r="AA23" i="8"/>
  <c r="B73" i="2"/>
  <c r="B74" i="2"/>
  <c r="B75" i="2"/>
  <c r="B76" i="2"/>
  <c r="B77" i="2"/>
  <c r="B78" i="2"/>
  <c r="B79" i="2"/>
  <c r="B80" i="2"/>
  <c r="B81" i="2"/>
  <c r="K15" i="8"/>
  <c r="B46" i="2"/>
  <c r="B47" i="2"/>
  <c r="B48" i="2"/>
  <c r="B50" i="2"/>
  <c r="B51" i="2"/>
  <c r="B52" i="2"/>
  <c r="B53" i="2"/>
  <c r="B54" i="2"/>
  <c r="B64" i="2"/>
  <c r="B65" i="2"/>
  <c r="B66" i="2"/>
  <c r="B67" i="2"/>
  <c r="B68" i="2"/>
  <c r="B69" i="2"/>
  <c r="B70" i="2"/>
  <c r="B71" i="2"/>
  <c r="B72" i="2"/>
  <c r="K15" i="6"/>
  <c r="B37" i="2"/>
  <c r="B38" i="2"/>
  <c r="B39" i="2"/>
  <c r="B40" i="2"/>
  <c r="B41" i="2"/>
  <c r="B44" i="2"/>
  <c r="B45" i="2"/>
  <c r="H49" i="5"/>
  <c r="H19" i="5"/>
  <c r="B19" i="2"/>
  <c r="B20" i="2"/>
  <c r="B21" i="2"/>
  <c r="B22" i="2"/>
  <c r="B23" i="2"/>
  <c r="B24" i="2"/>
  <c r="B25" i="2"/>
  <c r="B26" i="2"/>
  <c r="B27" i="2"/>
  <c r="B82" i="2"/>
  <c r="B83" i="2"/>
  <c r="B84" i="2"/>
  <c r="B85" i="2"/>
  <c r="B86" i="2"/>
  <c r="B87" i="2"/>
  <c r="B88" i="2"/>
  <c r="B89" i="2"/>
  <c r="B90" i="2"/>
  <c r="B55" i="2"/>
  <c r="B56" i="2"/>
  <c r="B57" i="2"/>
  <c r="B58" i="2"/>
  <c r="B59" i="2"/>
  <c r="B60" i="2"/>
  <c r="B61" i="2"/>
  <c r="B62" i="2"/>
  <c r="B63" i="2"/>
  <c r="H46" i="10"/>
  <c r="H16" i="10"/>
  <c r="H12" i="8"/>
  <c r="H46" i="7"/>
  <c r="H12" i="6"/>
  <c r="AA22" i="10"/>
  <c r="AB22" i="10" s="1"/>
  <c r="AA23" i="10"/>
  <c r="AB23" i="10" s="1"/>
  <c r="AA52" i="10"/>
  <c r="AB52" i="10" s="1"/>
  <c r="AA53" i="10"/>
  <c r="V24" i="7"/>
  <c r="V54" i="7"/>
  <c r="AA20" i="7"/>
  <c r="AB20" i="7" s="1"/>
  <c r="AA21" i="7"/>
  <c r="AB21" i="7" s="1"/>
  <c r="AA22" i="7"/>
  <c r="AB22" i="7" s="1"/>
  <c r="AA23" i="7"/>
  <c r="AB23" i="7" s="1"/>
  <c r="AA50" i="7"/>
  <c r="AA51" i="7"/>
  <c r="AA52" i="7"/>
  <c r="AA53" i="7"/>
  <c r="AB53" i="7" s="1"/>
  <c r="D9" i="11"/>
  <c r="D10" i="11"/>
  <c r="AA25" i="4"/>
  <c r="D8" i="11" s="1"/>
  <c r="V54" i="10"/>
  <c r="H49" i="10"/>
  <c r="V24" i="10"/>
  <c r="H15" i="8"/>
  <c r="H49" i="7"/>
  <c r="H19" i="7"/>
  <c r="V20" i="6"/>
  <c r="H15" i="6"/>
  <c r="D41" i="1"/>
  <c r="D40" i="1"/>
  <c r="D39" i="1"/>
  <c r="B41" i="1"/>
  <c r="C41" i="1"/>
  <c r="B39" i="1"/>
  <c r="C39" i="1"/>
  <c r="B40" i="1"/>
  <c r="C40" i="1"/>
  <c r="E40" i="1" s="1"/>
  <c r="D34" i="1"/>
  <c r="D33" i="1"/>
  <c r="D32" i="1"/>
  <c r="B33" i="1"/>
  <c r="C33" i="1" s="1"/>
  <c r="E33" i="1" s="1"/>
  <c r="B34" i="1"/>
  <c r="C34" i="1" s="1"/>
  <c r="B32" i="1"/>
  <c r="C32" i="1" s="1"/>
  <c r="E32" i="1" s="1"/>
  <c r="D19" i="1"/>
  <c r="B19" i="1"/>
  <c r="C19" i="1" s="1"/>
  <c r="E19" i="1"/>
  <c r="D21" i="1"/>
  <c r="D20" i="1"/>
  <c r="B21" i="1"/>
  <c r="C21" i="1"/>
  <c r="E21" i="1" s="1"/>
  <c r="B20" i="1"/>
  <c r="C20" i="1"/>
  <c r="D27" i="1"/>
  <c r="D26" i="1"/>
  <c r="D25" i="1"/>
  <c r="B26" i="1"/>
  <c r="C26" i="1" s="1"/>
  <c r="B27" i="1"/>
  <c r="C27" i="1" s="1"/>
  <c r="E27" i="1" s="1"/>
  <c r="B25" i="1"/>
  <c r="C25" i="1" s="1"/>
  <c r="E25" i="1" s="1"/>
  <c r="E30" i="1" s="1"/>
  <c r="B49" i="2"/>
  <c r="B42" i="2"/>
  <c r="B43" i="2"/>
  <c r="J58" i="13"/>
  <c r="J57" i="13"/>
  <c r="J56" i="13"/>
  <c r="J54" i="13"/>
  <c r="J53" i="13"/>
  <c r="J52" i="13"/>
  <c r="J49" i="13"/>
  <c r="J48" i="13"/>
  <c r="J47" i="13"/>
  <c r="J45" i="13"/>
  <c r="J44" i="13"/>
  <c r="J43" i="13"/>
  <c r="J35" i="13"/>
  <c r="J34" i="13"/>
  <c r="J33" i="13"/>
  <c r="J31" i="13"/>
  <c r="J30" i="13"/>
  <c r="J29" i="13"/>
  <c r="J27" i="13"/>
  <c r="J26" i="13"/>
  <c r="J25" i="13"/>
  <c r="J17" i="13"/>
  <c r="J16" i="13"/>
  <c r="J15" i="13"/>
  <c r="J13" i="13"/>
  <c r="J12" i="13"/>
  <c r="J11" i="13"/>
  <c r="J9" i="13"/>
  <c r="J8" i="13"/>
  <c r="J7" i="13"/>
  <c r="J4" i="13"/>
  <c r="J3" i="13"/>
  <c r="J2" i="13"/>
  <c r="E41" i="1"/>
  <c r="E20" i="1"/>
  <c r="E26" i="1"/>
  <c r="Y22" i="10" l="1"/>
  <c r="Y20" i="10"/>
  <c r="Y15" i="10"/>
  <c r="E34" i="1"/>
  <c r="AB19" i="6"/>
  <c r="AD17" i="10"/>
  <c r="Y16" i="4"/>
  <c r="H19" i="4"/>
  <c r="AB25" i="4"/>
  <c r="AB24" i="4"/>
  <c r="AB18" i="6"/>
  <c r="AA22" i="8"/>
  <c r="C10" i="11" s="1"/>
  <c r="AB12" i="8"/>
  <c r="E9" i="8"/>
  <c r="AD15" i="7"/>
  <c r="Y49" i="10"/>
  <c r="AD21" i="5"/>
  <c r="K48" i="10"/>
  <c r="AB53" i="10"/>
  <c r="Y66" i="10"/>
  <c r="AB51" i="10"/>
  <c r="AD18" i="10"/>
  <c r="Y16" i="10"/>
  <c r="AD16" i="10"/>
  <c r="Y47" i="10"/>
  <c r="Y48" i="10"/>
  <c r="Y52" i="10"/>
  <c r="Y51" i="10"/>
  <c r="Q12" i="16"/>
  <c r="Q14" i="16" s="1"/>
  <c r="E20" i="11"/>
  <c r="F20" i="11"/>
  <c r="H22" i="7"/>
  <c r="AB52" i="7"/>
  <c r="Y20" i="7"/>
  <c r="Y54" i="7"/>
  <c r="AD22" i="7"/>
  <c r="Y22" i="7"/>
  <c r="Y47" i="7"/>
  <c r="Y46" i="7"/>
  <c r="AB51" i="7"/>
  <c r="Y45" i="7"/>
  <c r="E13" i="7"/>
  <c r="Q15" i="7" s="1"/>
  <c r="AD20" i="7"/>
  <c r="H16" i="7"/>
  <c r="X66" i="7"/>
  <c r="AA56" i="7"/>
  <c r="AB46" i="7"/>
  <c r="Y21" i="7"/>
  <c r="AB50" i="7"/>
  <c r="AD21" i="7"/>
  <c r="Y51" i="7"/>
  <c r="AB48" i="7"/>
  <c r="AA26" i="7"/>
  <c r="AB16" i="7"/>
  <c r="Y50" i="7"/>
  <c r="AD18" i="7"/>
  <c r="Y53" i="7"/>
  <c r="Y52" i="7"/>
  <c r="AB47" i="7"/>
  <c r="AB46" i="5"/>
  <c r="Y45" i="5"/>
  <c r="X66" i="5"/>
  <c r="D18" i="11" s="1"/>
  <c r="H46" i="5"/>
  <c r="H16" i="5"/>
  <c r="Y54" i="5"/>
  <c r="E43" i="5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AB50" i="5"/>
  <c r="E13" i="5"/>
  <c r="Q15" i="5" s="1"/>
  <c r="AD18" i="5"/>
  <c r="Y24" i="5"/>
  <c r="AD17" i="5"/>
  <c r="Q45" i="5"/>
  <c r="AD24" i="5"/>
  <c r="AB53" i="5"/>
  <c r="AB49" i="5"/>
  <c r="AD16" i="5"/>
  <c r="AD15" i="5"/>
  <c r="Q11" i="8"/>
  <c r="E10" i="8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9" i="1"/>
  <c r="Y17" i="6"/>
  <c r="Y13" i="6"/>
  <c r="K14" i="8"/>
  <c r="Y12" i="6"/>
  <c r="Y20" i="6"/>
  <c r="Y14" i="6"/>
  <c r="Y19" i="6"/>
  <c r="Y11" i="6"/>
  <c r="E39" i="1"/>
  <c r="Y18" i="6"/>
  <c r="E24" i="1"/>
  <c r="E23" i="1"/>
  <c r="E37" i="1"/>
  <c r="E36" i="1"/>
  <c r="Y15" i="6"/>
  <c r="H12" i="4"/>
  <c r="Y13" i="4"/>
  <c r="AD24" i="7"/>
  <c r="X22" i="8"/>
  <c r="Y16" i="8" s="1"/>
  <c r="E13" i="1"/>
  <c r="E16" i="1" s="1"/>
  <c r="B3" i="2" s="1"/>
  <c r="H52" i="7"/>
  <c r="H51" i="7"/>
  <c r="K49" i="10"/>
  <c r="Y53" i="5"/>
  <c r="Y49" i="5"/>
  <c r="AD19" i="5"/>
  <c r="H22" i="5"/>
  <c r="H21" i="5"/>
  <c r="AA26" i="5"/>
  <c r="AC20" i="10"/>
  <c r="K18" i="7"/>
  <c r="Y11" i="4"/>
  <c r="E10" i="6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Y23" i="7"/>
  <c r="H18" i="8"/>
  <c r="H17" i="8"/>
  <c r="E14" i="1"/>
  <c r="E17" i="1" s="1"/>
  <c r="B4" i="2" s="1"/>
  <c r="E14" i="7"/>
  <c r="E15" i="7" s="1"/>
  <c r="E16" i="7" s="1"/>
  <c r="E17" i="7" s="1"/>
  <c r="E18" i="7" s="1"/>
  <c r="E19" i="7" s="1"/>
  <c r="E20" i="7" s="1"/>
  <c r="E21" i="7" s="1"/>
  <c r="E22" i="7" s="1"/>
  <c r="E23" i="7" s="1"/>
  <c r="E43" i="7"/>
  <c r="K49" i="7"/>
  <c r="H22" i="10"/>
  <c r="H21" i="10"/>
  <c r="Y46" i="5"/>
  <c r="Y50" i="5"/>
  <c r="Y47" i="5"/>
  <c r="Y51" i="5"/>
  <c r="Y18" i="10"/>
  <c r="Y17" i="10"/>
  <c r="Y21" i="10"/>
  <c r="Y19" i="4"/>
  <c r="Y21" i="4"/>
  <c r="Y15" i="4"/>
  <c r="Y17" i="4"/>
  <c r="AD22" i="5"/>
  <c r="K14" i="6"/>
  <c r="Y22" i="4"/>
  <c r="Y14" i="4"/>
  <c r="Y12" i="4"/>
  <c r="H18" i="6"/>
  <c r="H17" i="6"/>
  <c r="AA24" i="4"/>
  <c r="C8" i="11" s="1"/>
  <c r="AA22" i="6"/>
  <c r="C9" i="11" s="1"/>
  <c r="E13" i="10"/>
  <c r="K19" i="10"/>
  <c r="E44" i="10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Q45" i="10"/>
  <c r="E9" i="4"/>
  <c r="Y48" i="7"/>
  <c r="Y49" i="7"/>
  <c r="Y19" i="10"/>
  <c r="AC21" i="10"/>
  <c r="Y50" i="10"/>
  <c r="AC50" i="10"/>
  <c r="Y46" i="10"/>
  <c r="Y20" i="4"/>
  <c r="E14" i="5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H52" i="10"/>
  <c r="H51" i="10"/>
  <c r="AA56" i="5"/>
  <c r="AC22" i="10"/>
  <c r="AD22" i="10" s="1"/>
  <c r="AC51" i="10"/>
  <c r="Y18" i="4"/>
  <c r="AD23" i="5"/>
  <c r="Y22" i="5"/>
  <c r="Y23" i="5"/>
  <c r="Y16" i="5"/>
  <c r="Y17" i="5"/>
  <c r="Y18" i="5"/>
  <c r="Y19" i="5"/>
  <c r="Y20" i="5"/>
  <c r="Y21" i="5"/>
  <c r="AD20" i="5"/>
  <c r="AA26" i="10"/>
  <c r="Y52" i="5"/>
  <c r="Y48" i="5"/>
  <c r="Y24" i="7"/>
  <c r="Y16" i="7"/>
  <c r="Y17" i="7"/>
  <c r="Y18" i="7"/>
  <c r="Y19" i="7"/>
  <c r="AC19" i="10"/>
  <c r="AD19" i="10" s="1"/>
  <c r="AD15" i="10"/>
  <c r="AC19" i="4"/>
  <c r="AA56" i="10"/>
  <c r="AD17" i="7"/>
  <c r="H52" i="5"/>
  <c r="H51" i="5"/>
  <c r="T11" i="16"/>
  <c r="I20" i="11" s="1"/>
  <c r="C87" i="2" l="1"/>
  <c r="D87" i="2" s="1"/>
  <c r="C104" i="2"/>
  <c r="D104" i="2" s="1"/>
  <c r="C69" i="2"/>
  <c r="D69" i="2" s="1"/>
  <c r="C24" i="2"/>
  <c r="D24" i="2" s="1"/>
  <c r="C48" i="2"/>
  <c r="D48" i="2" s="1"/>
  <c r="C106" i="2"/>
  <c r="D106" i="2" s="1"/>
  <c r="C64" i="2"/>
  <c r="D64" i="2" s="1"/>
  <c r="C108" i="2"/>
  <c r="D108" i="2" s="1"/>
  <c r="C103" i="2"/>
  <c r="D103" i="2" s="1"/>
  <c r="C58" i="2"/>
  <c r="D58" i="2" s="1"/>
  <c r="C37" i="2"/>
  <c r="D37" i="2" s="1"/>
  <c r="C86" i="2"/>
  <c r="D86" i="2" s="1"/>
  <c r="C34" i="2"/>
  <c r="D34" i="2" s="1"/>
  <c r="C31" i="2"/>
  <c r="D31" i="2" s="1"/>
  <c r="K18" i="5"/>
  <c r="AB23" i="8"/>
  <c r="AB22" i="8"/>
  <c r="AD21" i="10"/>
  <c r="D19" i="11"/>
  <c r="Y66" i="7"/>
  <c r="X65" i="7"/>
  <c r="Y66" i="5"/>
  <c r="Q46" i="5"/>
  <c r="N45" i="5"/>
  <c r="X65" i="5"/>
  <c r="Y65" i="5" s="1"/>
  <c r="K48" i="5"/>
  <c r="F8" i="11"/>
  <c r="E8" i="11"/>
  <c r="C43" i="2"/>
  <c r="D43" i="2" s="1"/>
  <c r="C33" i="2"/>
  <c r="D33" i="2" s="1"/>
  <c r="C10" i="2"/>
  <c r="D10" i="2" s="1"/>
  <c r="C28" i="2"/>
  <c r="D28" i="2" s="1"/>
  <c r="C30" i="2"/>
  <c r="D30" i="2" s="1"/>
  <c r="C32" i="2"/>
  <c r="D32" i="2" s="1"/>
  <c r="C35" i="2"/>
  <c r="D35" i="2" s="1"/>
  <c r="C12" i="2"/>
  <c r="D12" i="2" s="1"/>
  <c r="C16" i="2"/>
  <c r="D16" i="2" s="1"/>
  <c r="C42" i="2"/>
  <c r="D42" i="2" s="1"/>
  <c r="C93" i="2"/>
  <c r="D93" i="2" s="1"/>
  <c r="C97" i="2"/>
  <c r="D97" i="2" s="1"/>
  <c r="C101" i="2"/>
  <c r="D101" i="2" s="1"/>
  <c r="C105" i="2"/>
  <c r="D105" i="2" s="1"/>
  <c r="C73" i="2"/>
  <c r="D73" i="2" s="1"/>
  <c r="C77" i="2"/>
  <c r="D77" i="2" s="1"/>
  <c r="C47" i="2"/>
  <c r="D47" i="2" s="1"/>
  <c r="C70" i="2"/>
  <c r="D70" i="2" s="1"/>
  <c r="C44" i="2"/>
  <c r="D44" i="2" s="1"/>
  <c r="C19" i="2"/>
  <c r="D19" i="2" s="1"/>
  <c r="C14" i="2"/>
  <c r="D14" i="2" s="1"/>
  <c r="C18" i="2"/>
  <c r="D18" i="2" s="1"/>
  <c r="C81" i="2"/>
  <c r="D81" i="2" s="1"/>
  <c r="C52" i="2"/>
  <c r="D52" i="2" s="1"/>
  <c r="C66" i="2"/>
  <c r="D66" i="2" s="1"/>
  <c r="C38" i="2"/>
  <c r="D38" i="2" s="1"/>
  <c r="C88" i="2"/>
  <c r="D88" i="2" s="1"/>
  <c r="C27" i="2"/>
  <c r="D27" i="2" s="1"/>
  <c r="C59" i="2"/>
  <c r="D59" i="2" s="1"/>
  <c r="C23" i="2"/>
  <c r="D23" i="2" s="1"/>
  <c r="C55" i="2"/>
  <c r="D55" i="2" s="1"/>
  <c r="C63" i="2"/>
  <c r="D63" i="2" s="1"/>
  <c r="C84" i="2"/>
  <c r="D84" i="2" s="1"/>
  <c r="C89" i="2"/>
  <c r="D89" i="2" s="1"/>
  <c r="N15" i="5"/>
  <c r="Q16" i="5"/>
  <c r="Q18" i="5" s="1"/>
  <c r="C41" i="2"/>
  <c r="D41" i="2" s="1"/>
  <c r="N45" i="10"/>
  <c r="Q46" i="10"/>
  <c r="Q48" i="10" s="1"/>
  <c r="C83" i="2"/>
  <c r="D83" i="2" s="1"/>
  <c r="C11" i="2"/>
  <c r="D11" i="2" s="1"/>
  <c r="C94" i="2"/>
  <c r="D94" i="2" s="1"/>
  <c r="C74" i="2"/>
  <c r="D74" i="2" s="1"/>
  <c r="Q48" i="5"/>
  <c r="C76" i="2"/>
  <c r="D76" i="2" s="1"/>
  <c r="C82" i="2"/>
  <c r="D82" i="2" s="1"/>
  <c r="C91" i="2"/>
  <c r="D91" i="2" s="1"/>
  <c r="C107" i="2"/>
  <c r="D107" i="2" s="1"/>
  <c r="C53" i="2"/>
  <c r="D53" i="2" s="1"/>
  <c r="C57" i="2"/>
  <c r="D57" i="2" s="1"/>
  <c r="C36" i="2"/>
  <c r="D36" i="2" s="1"/>
  <c r="C80" i="2"/>
  <c r="D80" i="2" s="1"/>
  <c r="AB57" i="7"/>
  <c r="AB56" i="7"/>
  <c r="AD20" i="10"/>
  <c r="AB23" i="6"/>
  <c r="E9" i="11" s="1"/>
  <c r="AB22" i="6"/>
  <c r="F9" i="11" s="1"/>
  <c r="C46" i="2"/>
  <c r="D46" i="2" s="1"/>
  <c r="C72" i="2"/>
  <c r="D72" i="2" s="1"/>
  <c r="C56" i="2"/>
  <c r="D56" i="2" s="1"/>
  <c r="C15" i="2"/>
  <c r="D15" i="2" s="1"/>
  <c r="C98" i="2"/>
  <c r="D98" i="2" s="1"/>
  <c r="C78" i="2"/>
  <c r="D78" i="2" s="1"/>
  <c r="C45" i="2"/>
  <c r="D45" i="2" s="1"/>
  <c r="C62" i="2"/>
  <c r="D62" i="2" s="1"/>
  <c r="C50" i="2"/>
  <c r="D50" i="2" s="1"/>
  <c r="C85" i="2"/>
  <c r="D85" i="2" s="1"/>
  <c r="C95" i="2"/>
  <c r="D95" i="2" s="1"/>
  <c r="C75" i="2"/>
  <c r="D75" i="2" s="1"/>
  <c r="C40" i="2"/>
  <c r="D40" i="2" s="1"/>
  <c r="C60" i="2"/>
  <c r="D60" i="2" s="1"/>
  <c r="C13" i="2"/>
  <c r="D13" i="2" s="1"/>
  <c r="C92" i="2"/>
  <c r="D92" i="2" s="1"/>
  <c r="C54" i="2"/>
  <c r="D54" i="2" s="1"/>
  <c r="C26" i="2"/>
  <c r="D26" i="2" s="1"/>
  <c r="N15" i="7"/>
  <c r="Q16" i="7"/>
  <c r="Q18" i="7" s="1"/>
  <c r="AB26" i="10"/>
  <c r="AB27" i="10"/>
  <c r="C68" i="2"/>
  <c r="D68" i="2" s="1"/>
  <c r="C39" i="2"/>
  <c r="D39" i="2" s="1"/>
  <c r="N21" i="5" s="1"/>
  <c r="Q12" i="8"/>
  <c r="Q14" i="8" s="1"/>
  <c r="N11" i="8"/>
  <c r="C20" i="2"/>
  <c r="D20" i="2" s="1"/>
  <c r="X65" i="10"/>
  <c r="AB27" i="5"/>
  <c r="K14" i="4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Q11" i="4"/>
  <c r="E14" i="10"/>
  <c r="E15" i="10" s="1"/>
  <c r="E16" i="10" s="1"/>
  <c r="E17" i="10" s="1"/>
  <c r="E18" i="10" s="1"/>
  <c r="E19" i="10" s="1"/>
  <c r="E20" i="10" s="1"/>
  <c r="E21" i="10" s="1"/>
  <c r="E22" i="10" s="1"/>
  <c r="E23" i="10" s="1"/>
  <c r="K18" i="10"/>
  <c r="Q15" i="10"/>
  <c r="E44" i="7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Q45" i="7"/>
  <c r="K48" i="7"/>
  <c r="Q12" i="6"/>
  <c r="Q14" i="6" s="1"/>
  <c r="N11" i="6"/>
  <c r="C29" i="2"/>
  <c r="D29" i="2" s="1"/>
  <c r="Y12" i="8"/>
  <c r="Y17" i="8"/>
  <c r="Y18" i="8"/>
  <c r="Y19" i="8"/>
  <c r="Y13" i="8"/>
  <c r="Y15" i="8"/>
  <c r="Y14" i="8"/>
  <c r="Y20" i="8"/>
  <c r="Y11" i="8"/>
  <c r="C51" i="2"/>
  <c r="D51" i="2" s="1"/>
  <c r="C21" i="2"/>
  <c r="D21" i="2" s="1"/>
  <c r="C61" i="2"/>
  <c r="D61" i="2" s="1"/>
  <c r="C102" i="2"/>
  <c r="D102" i="2" s="1"/>
  <c r="C65" i="2"/>
  <c r="D65" i="2" s="1"/>
  <c r="C22" i="2"/>
  <c r="D22" i="2" s="1"/>
  <c r="E44" i="1"/>
  <c r="E43" i="1"/>
  <c r="C96" i="2"/>
  <c r="D96" i="2" s="1"/>
  <c r="C67" i="2"/>
  <c r="D67" i="2" s="1"/>
  <c r="C90" i="2"/>
  <c r="D90" i="2" s="1"/>
  <c r="C99" i="2"/>
  <c r="D99" i="2" s="1"/>
  <c r="C79" i="2"/>
  <c r="D79" i="2" s="1"/>
  <c r="C25" i="2"/>
  <c r="D25" i="2" s="1"/>
  <c r="C17" i="2"/>
  <c r="D17" i="2" s="1"/>
  <c r="C100" i="2"/>
  <c r="D100" i="2" s="1"/>
  <c r="C71" i="2"/>
  <c r="D71" i="2" s="1"/>
  <c r="C49" i="2"/>
  <c r="D49" i="2" s="1"/>
  <c r="N51" i="7" l="1"/>
  <c r="C19" i="11"/>
  <c r="Y65" i="7"/>
  <c r="C18" i="11"/>
  <c r="E10" i="11"/>
  <c r="F10" i="11"/>
  <c r="Q12" i="4"/>
  <c r="Q14" i="4" s="1"/>
  <c r="N11" i="4"/>
  <c r="AB26" i="5"/>
  <c r="C21" i="11"/>
  <c r="Y65" i="10"/>
  <c r="T15" i="7"/>
  <c r="N21" i="7"/>
  <c r="N21" i="10"/>
  <c r="N17" i="4"/>
  <c r="N51" i="5"/>
  <c r="AB57" i="5"/>
  <c r="Z66" i="5" s="1"/>
  <c r="AB56" i="5"/>
  <c r="T11" i="8"/>
  <c r="I10" i="11" s="1"/>
  <c r="T45" i="5"/>
  <c r="N51" i="10"/>
  <c r="AB56" i="10"/>
  <c r="Z65" i="10" s="1"/>
  <c r="AB57" i="10"/>
  <c r="Z66" i="10" s="1"/>
  <c r="N17" i="16"/>
  <c r="T45" i="10"/>
  <c r="T15" i="5"/>
  <c r="N17" i="6"/>
  <c r="N17" i="8"/>
  <c r="N16" i="16"/>
  <c r="N50" i="5"/>
  <c r="N50" i="10"/>
  <c r="N16" i="4"/>
  <c r="N18" i="4" s="1"/>
  <c r="N20" i="4" s="1"/>
  <c r="N20" i="5"/>
  <c r="N22" i="5" s="1"/>
  <c r="N24" i="5" s="1"/>
  <c r="T13" i="5" s="1"/>
  <c r="N20" i="10"/>
  <c r="N22" i="10" s="1"/>
  <c r="N20" i="7"/>
  <c r="N16" i="8"/>
  <c r="N18" i="8" s="1"/>
  <c r="N20" i="8" s="1"/>
  <c r="T9" i="8" s="1"/>
  <c r="G10" i="11" s="1"/>
  <c r="N16" i="6"/>
  <c r="N50" i="7"/>
  <c r="N52" i="7" s="1"/>
  <c r="T11" i="6"/>
  <c r="I9" i="11" s="1"/>
  <c r="Q46" i="7"/>
  <c r="Q48" i="7" s="1"/>
  <c r="N45" i="7"/>
  <c r="Q16" i="10"/>
  <c r="Q18" i="10" s="1"/>
  <c r="N15" i="10"/>
  <c r="AB26" i="7"/>
  <c r="Z65" i="7" s="1"/>
  <c r="AB27" i="7"/>
  <c r="Z66" i="7" s="1"/>
  <c r="N18" i="6" l="1"/>
  <c r="N52" i="10"/>
  <c r="N54" i="10" s="1"/>
  <c r="T43" i="10" s="1"/>
  <c r="N22" i="7"/>
  <c r="N24" i="7" s="1"/>
  <c r="T13" i="7" s="1"/>
  <c r="N52" i="5"/>
  <c r="N54" i="5" s="1"/>
  <c r="T43" i="5" s="1"/>
  <c r="T64" i="5" s="1"/>
  <c r="U64" i="5" s="1"/>
  <c r="F19" i="11"/>
  <c r="AA65" i="7"/>
  <c r="E18" i="11"/>
  <c r="AA66" i="5"/>
  <c r="E19" i="11"/>
  <c r="AA66" i="7"/>
  <c r="T15" i="10"/>
  <c r="T14" i="10"/>
  <c r="T14" i="5"/>
  <c r="T9" i="4"/>
  <c r="G8" i="11" s="1"/>
  <c r="T10" i="4"/>
  <c r="H8" i="11" s="1"/>
  <c r="T11" i="4"/>
  <c r="I8" i="11" s="1"/>
  <c r="E21" i="11"/>
  <c r="AA66" i="10"/>
  <c r="T44" i="5"/>
  <c r="T45" i="7"/>
  <c r="I19" i="11" s="1"/>
  <c r="T44" i="7"/>
  <c r="N54" i="7"/>
  <c r="T43" i="7" s="1"/>
  <c r="N24" i="10"/>
  <c r="T13" i="10" s="1"/>
  <c r="F21" i="11"/>
  <c r="AA65" i="10"/>
  <c r="Z65" i="5"/>
  <c r="N18" i="16"/>
  <c r="T66" i="5"/>
  <c r="U66" i="5" s="1"/>
  <c r="I18" i="11"/>
  <c r="T44" i="10"/>
  <c r="T10" i="8"/>
  <c r="H10" i="11" s="1"/>
  <c r="G18" i="11" l="1"/>
  <c r="T14" i="7"/>
  <c r="H19" i="11" s="1"/>
  <c r="N20" i="6"/>
  <c r="T9" i="6" s="1"/>
  <c r="G9" i="11" s="1"/>
  <c r="T10" i="6"/>
  <c r="H9" i="11" s="1"/>
  <c r="T66" i="7"/>
  <c r="U66" i="7" s="1"/>
  <c r="H18" i="11"/>
  <c r="T64" i="10"/>
  <c r="U64" i="10" s="1"/>
  <c r="G21" i="11"/>
  <c r="G19" i="11"/>
  <c r="T64" i="7"/>
  <c r="U64" i="7" s="1"/>
  <c r="AA65" i="5"/>
  <c r="F18" i="11"/>
  <c r="T65" i="5"/>
  <c r="U65" i="5" s="1"/>
  <c r="T65" i="7"/>
  <c r="U65" i="7" s="1"/>
  <c r="T66" i="10"/>
  <c r="U66" i="10" s="1"/>
  <c r="I21" i="11"/>
  <c r="N20" i="16"/>
  <c r="T9" i="16" s="1"/>
  <c r="G20" i="11" s="1"/>
  <c r="T10" i="16"/>
  <c r="H20" i="11" s="1"/>
  <c r="T65" i="10"/>
  <c r="U65" i="10" s="1"/>
  <c r="H21" i="11"/>
</calcChain>
</file>

<file path=xl/sharedStrings.xml><?xml version="1.0" encoding="utf-8"?>
<sst xmlns="http://schemas.openxmlformats.org/spreadsheetml/2006/main" count="1586" uniqueCount="414">
  <si>
    <t>Sugar recovery standards</t>
  </si>
  <si>
    <t>Glc1 not autoclaved</t>
  </si>
  <si>
    <t>Glc2 not autoclaved</t>
  </si>
  <si>
    <t>Glc3 not autoclaved</t>
  </si>
  <si>
    <t>Standard deviation [%]</t>
  </si>
  <si>
    <t>Average recovery [%]</t>
  </si>
  <si>
    <t>Glc 1 Autoclaved</t>
  </si>
  <si>
    <t>Glc 2 Autoclaved</t>
  </si>
  <si>
    <t>Glc 3 Autoclaved</t>
  </si>
  <si>
    <t>Glc 1 Acid treated</t>
  </si>
  <si>
    <t>Glc 2 Acid treated</t>
  </si>
  <si>
    <t>Glc 3 Acid treated</t>
  </si>
  <si>
    <t>Glc 2</t>
  </si>
  <si>
    <t>Glc 3</t>
  </si>
  <si>
    <t>Amount of liquid used [mL]</t>
  </si>
  <si>
    <t>Sample name</t>
  </si>
  <si>
    <t>BLK1-1 from 09-May-2017 run</t>
  </si>
  <si>
    <t>BLK1-2</t>
  </si>
  <si>
    <t>BLK1-3</t>
  </si>
  <si>
    <t>BLK2-1</t>
  </si>
  <si>
    <t>BLK2-2</t>
  </si>
  <si>
    <t>BLK2-3</t>
  </si>
  <si>
    <t>BLK3-1</t>
  </si>
  <si>
    <t>BLK3-2</t>
  </si>
  <si>
    <t>BLK3-3</t>
  </si>
  <si>
    <t>0% 1-1</t>
  </si>
  <si>
    <t>0% 1-2</t>
  </si>
  <si>
    <t>0% 1-3</t>
  </si>
  <si>
    <t>0% 2-1</t>
  </si>
  <si>
    <t>0% 2-2</t>
  </si>
  <si>
    <t>0% 2-3</t>
  </si>
  <si>
    <t>0% 3-1</t>
  </si>
  <si>
    <t>0% 3-2</t>
  </si>
  <si>
    <t>0% 3-3</t>
  </si>
  <si>
    <t>A 1-1</t>
  </si>
  <si>
    <t>A 1-2</t>
  </si>
  <si>
    <t>A 1-3</t>
  </si>
  <si>
    <t>A 2-1</t>
  </si>
  <si>
    <t>A 2-2</t>
  </si>
  <si>
    <t>A 2-3</t>
  </si>
  <si>
    <t>A 3-1</t>
  </si>
  <si>
    <t>A 3-2</t>
  </si>
  <si>
    <t>A 3-3</t>
  </si>
  <si>
    <t>B 1-1</t>
  </si>
  <si>
    <t>B 1-2</t>
  </si>
  <si>
    <t>B 1-3</t>
  </si>
  <si>
    <t>B 2-1</t>
  </si>
  <si>
    <t>B 2-2</t>
  </si>
  <si>
    <t>B 2-3</t>
  </si>
  <si>
    <t>B 3-1</t>
  </si>
  <si>
    <t>B 3-2</t>
  </si>
  <si>
    <t>B 3-3</t>
  </si>
  <si>
    <t>A 1-1 from 10-May-2017 run</t>
  </si>
  <si>
    <t>C 1-1</t>
  </si>
  <si>
    <t>C 1-2</t>
  </si>
  <si>
    <t>C 1-3</t>
  </si>
  <si>
    <t>C 2-1</t>
  </si>
  <si>
    <t>C 2-2</t>
  </si>
  <si>
    <t>C 2-3</t>
  </si>
  <si>
    <t>C 3-1</t>
  </si>
  <si>
    <t>C 3-2</t>
  </si>
  <si>
    <t>C 3-3</t>
  </si>
  <si>
    <t>40% 1-1 from 16-May-2017 run</t>
  </si>
  <si>
    <t>40% 1-2</t>
  </si>
  <si>
    <t>40% 1-3</t>
  </si>
  <si>
    <t>40% 2-1</t>
  </si>
  <si>
    <t>40% 2-2</t>
  </si>
  <si>
    <t>40% 2-3</t>
  </si>
  <si>
    <t>40% 3-1</t>
  </si>
  <si>
    <t>40% 3-2</t>
  </si>
  <si>
    <t>40% 3-3</t>
  </si>
  <si>
    <t>A 1-1 week 11 (2017)</t>
  </si>
  <si>
    <t>A 1-1 week 12 (2017)</t>
  </si>
  <si>
    <t>Glc2</t>
  </si>
  <si>
    <t>Glc3</t>
  </si>
  <si>
    <t>Glucose concentration</t>
  </si>
  <si>
    <t>[g/L]</t>
  </si>
  <si>
    <t>* outlier</t>
  </si>
  <si>
    <t>[g]</t>
  </si>
  <si>
    <t>[h]</t>
  </si>
  <si>
    <t>Glucose</t>
  </si>
  <si>
    <t>Lactate</t>
  </si>
  <si>
    <t>Yield</t>
  </si>
  <si>
    <t>Specific productivity</t>
  </si>
  <si>
    <t>Raw data</t>
  </si>
  <si>
    <t>Unit</t>
  </si>
  <si>
    <r>
      <t>WIS</t>
    </r>
    <r>
      <rPr>
        <b/>
        <vertAlign val="subscript"/>
        <sz val="11"/>
        <color theme="1"/>
        <rFont val="Calibri"/>
        <family val="2"/>
        <scheme val="minor"/>
      </rPr>
      <t>solid substrate</t>
    </r>
  </si>
  <si>
    <t>WIS and media</t>
  </si>
  <si>
    <t>Calculations</t>
  </si>
  <si>
    <t>Total lactate produced</t>
  </si>
  <si>
    <t>Productivity</t>
  </si>
  <si>
    <t>A</t>
  </si>
  <si>
    <t>B</t>
  </si>
  <si>
    <t>Maximum</t>
  </si>
  <si>
    <t>Total mass [g]</t>
  </si>
  <si>
    <t>Number of samplings</t>
  </si>
  <si>
    <t>Sampling volume [L]</t>
  </si>
  <si>
    <t>Glucose sampled away [g]</t>
  </si>
  <si>
    <t>Lactate sampled away [g]</t>
  </si>
  <si>
    <t>Average</t>
  </si>
  <si>
    <t xml:space="preserve">Sample Name </t>
  </si>
  <si>
    <t xml:space="preserve">Area </t>
  </si>
  <si>
    <t xml:space="preserve">Height </t>
  </si>
  <si>
    <t xml:space="preserve">Amount </t>
  </si>
  <si>
    <t>min</t>
  </si>
  <si>
    <t>µRIU*min</t>
  </si>
  <si>
    <t>µRIU</t>
  </si>
  <si>
    <t>RI_1</t>
  </si>
  <si>
    <t>StdA 1x</t>
  </si>
  <si>
    <t>StdA 1.3x</t>
  </si>
  <si>
    <t>StdA 2x</t>
  </si>
  <si>
    <t>StdA 4x</t>
  </si>
  <si>
    <t>StdA 8x</t>
  </si>
  <si>
    <t>StdA 16x</t>
  </si>
  <si>
    <t>Glc1</t>
  </si>
  <si>
    <t>Glc1 Not Autoclaved</t>
  </si>
  <si>
    <t>Glc2 Not Autoclaved</t>
  </si>
  <si>
    <t>Glc3 Not Autoclaved</t>
  </si>
  <si>
    <t>Glc1 Autoclaved</t>
  </si>
  <si>
    <t>Glc2 Autoclaved</t>
  </si>
  <si>
    <t>Glc3 Autoclaved</t>
  </si>
  <si>
    <t>Glc1 Acid Treated</t>
  </si>
  <si>
    <t>Glc2 Acid Treated</t>
  </si>
  <si>
    <t>Glc3 Acid Treated</t>
  </si>
  <si>
    <t>Replicate</t>
  </si>
  <si>
    <t>Week</t>
  </si>
  <si>
    <t>Date of sampling</t>
  </si>
  <si>
    <t>Name on the tube</t>
  </si>
  <si>
    <t>NONE</t>
  </si>
  <si>
    <t>Blank 1</t>
  </si>
  <si>
    <t>BLK 1-1</t>
  </si>
  <si>
    <t>BLK 1-2</t>
  </si>
  <si>
    <t>BLK 1-3</t>
  </si>
  <si>
    <t>//</t>
  </si>
  <si>
    <t>Blank 2</t>
  </si>
  <si>
    <t>BLK 2-1</t>
  </si>
  <si>
    <t>BLK 2-2</t>
  </si>
  <si>
    <t>BLK 2-3</t>
  </si>
  <si>
    <t>Blank 3</t>
  </si>
  <si>
    <t>BLK 3-1</t>
  </si>
  <si>
    <t>BLK 3-2</t>
  </si>
  <si>
    <t>BLK 3-3</t>
  </si>
  <si>
    <t>10% WIS</t>
  </si>
  <si>
    <t>SSF-0% (1)</t>
  </si>
  <si>
    <t>SSF-0% (2)</t>
  </si>
  <si>
    <t>SSF-0% (3)</t>
  </si>
  <si>
    <t>SSF-B1</t>
  </si>
  <si>
    <t>B1-1</t>
  </si>
  <si>
    <t>B1-2</t>
  </si>
  <si>
    <t>B1-3</t>
  </si>
  <si>
    <t>SSF-B2</t>
  </si>
  <si>
    <t>B2-1</t>
  </si>
  <si>
    <t>B2-2</t>
  </si>
  <si>
    <t>B2-3</t>
  </si>
  <si>
    <t>SSF-B3</t>
  </si>
  <si>
    <t>B3-1</t>
  </si>
  <si>
    <t>B3-2</t>
  </si>
  <si>
    <t>B3-3</t>
  </si>
  <si>
    <t>SSF-A1</t>
  </si>
  <si>
    <t>A2-1</t>
  </si>
  <si>
    <t>A1-3</t>
  </si>
  <si>
    <t>SSF-A2</t>
  </si>
  <si>
    <t>A2-2</t>
  </si>
  <si>
    <t>A2-3</t>
  </si>
  <si>
    <t>SSF-A3</t>
  </si>
  <si>
    <t>A3-1</t>
  </si>
  <si>
    <t>A3-2</t>
  </si>
  <si>
    <t>A3-3</t>
  </si>
  <si>
    <t>Glucose Std 1</t>
  </si>
  <si>
    <t>Glc 1</t>
  </si>
  <si>
    <t>Glucose Std 2</t>
  </si>
  <si>
    <t>Glucose Std 3</t>
  </si>
  <si>
    <t>SSF-B1(1)</t>
  </si>
  <si>
    <t>SSF-B1(2)</t>
  </si>
  <si>
    <t>SSF-B1(3)</t>
  </si>
  <si>
    <t>SSF-B2(1)</t>
  </si>
  <si>
    <t>SSF-B2(2)</t>
  </si>
  <si>
    <t>SSF-B2(3)</t>
  </si>
  <si>
    <t>SSF-B3(1)</t>
  </si>
  <si>
    <t>SSF-B3(2)</t>
  </si>
  <si>
    <t>SSF-B3(3)</t>
  </si>
  <si>
    <t>SSF-C1</t>
  </si>
  <si>
    <t>SSF-C1(1)</t>
  </si>
  <si>
    <t>SSF-C1(2)</t>
  </si>
  <si>
    <t>SSF-C1(3)</t>
  </si>
  <si>
    <t>SSF-C2</t>
  </si>
  <si>
    <t>SSF-C2(1)</t>
  </si>
  <si>
    <t>SSF-C2(2)</t>
  </si>
  <si>
    <t>SSF-C2(3)</t>
  </si>
  <si>
    <t>SSF-C3</t>
  </si>
  <si>
    <t>SSF-C3(1)</t>
  </si>
  <si>
    <t>SSF-C3(2)</t>
  </si>
  <si>
    <t>SSF-C3(3)</t>
  </si>
  <si>
    <t>SSF-A1(1)</t>
  </si>
  <si>
    <t>SSF-A1(2)</t>
  </si>
  <si>
    <t>SSF-A1(3)</t>
  </si>
  <si>
    <t>SSF-A2(1)</t>
  </si>
  <si>
    <t>SSF-A2(2)</t>
  </si>
  <si>
    <t>SSF-A2(3)</t>
  </si>
  <si>
    <t>SSF-A3(1)</t>
  </si>
  <si>
    <t>SSF-A3(2)</t>
  </si>
  <si>
    <t>SSF-A3(3)</t>
  </si>
  <si>
    <t>SSF-40% (4)</t>
  </si>
  <si>
    <t>SSF-40%(1)</t>
  </si>
  <si>
    <t>SSF-40%(2)</t>
  </si>
  <si>
    <t>SSF-40%(3)</t>
  </si>
  <si>
    <t>SSF-40% (5)</t>
  </si>
  <si>
    <t>SSF-40% (6)</t>
  </si>
  <si>
    <t>Glc 1 Not Autoclaved</t>
  </si>
  <si>
    <t>Glc 2Not Autoclaved</t>
  </si>
  <si>
    <t>Glc 3Not Autoclaved</t>
  </si>
  <si>
    <t>07-04-2017</t>
  </si>
  <si>
    <t>27-01-2017</t>
  </si>
  <si>
    <t>03-03-2017</t>
  </si>
  <si>
    <t>10-03-2017</t>
  </si>
  <si>
    <t>17-03-2017</t>
  </si>
  <si>
    <t>24-03-2017</t>
  </si>
  <si>
    <t>Volumetric productivity</t>
  </si>
  <si>
    <t>Name</t>
  </si>
  <si>
    <t>Description</t>
  </si>
  <si>
    <t>Variable</t>
  </si>
  <si>
    <t>Analyte</t>
  </si>
  <si>
    <t>Detector</t>
  </si>
  <si>
    <t xml:space="preserve">Retention time </t>
  </si>
  <si>
    <r>
      <t>Raw data of HLC analysis of total carbohydrate analysis samples for t=t</t>
    </r>
    <r>
      <rPr>
        <vertAlign val="subscript"/>
        <sz val="11"/>
        <color theme="1"/>
        <rFont val="Calibri"/>
        <family val="2"/>
        <scheme val="minor"/>
      </rPr>
      <t>end</t>
    </r>
  </si>
  <si>
    <t>2 Raw data HPLC</t>
  </si>
  <si>
    <t xml:space="preserve">
% of Hydrolysate in seed culture</t>
  </si>
  <si>
    <t>WIS in SSF</t>
  </si>
  <si>
    <t>Weight Tube+cap 
[g]</t>
  </si>
  <si>
    <t>Amount of cells
[mg/g of WIS]</t>
  </si>
  <si>
    <t>Weight Tube+cap+washed and 
dried slurry (25g)
[g]</t>
  </si>
  <si>
    <t>Weight          Dried slurry (WIS)
[g]</t>
  </si>
  <si>
    <t xml:space="preserve">Weighed quantity for 
the sugar analysis [mg]
(1) </t>
  </si>
  <si>
    <t xml:space="preserve">Weighed quantity for 
the sugar analysis (sample name)
(1) </t>
  </si>
  <si>
    <t xml:space="preserve">Weighed quantity for 
the sugar analysis (sample name)
(2) </t>
  </si>
  <si>
    <t xml:space="preserve">Weighed quantity for 
the sugar analysis [mg]
(2) </t>
  </si>
  <si>
    <t xml:space="preserve">Weighed quantity for 
the sugar analysis (sample name)
(3) </t>
  </si>
  <si>
    <t xml:space="preserve">Weighed quantity for 
the sugar analysis [mg]
(3) </t>
  </si>
  <si>
    <t>Raw data of total carbo hydrate analysis including:</t>
  </si>
  <si>
    <t>Sample names</t>
  </si>
  <si>
    <t>Weight of samples</t>
  </si>
  <si>
    <t>Retention time</t>
  </si>
  <si>
    <t>Areas, heights and concentrations of samples</t>
  </si>
  <si>
    <t>Weight</t>
  </si>
  <si>
    <t xml:space="preserve"> [mg]</t>
  </si>
  <si>
    <t xml:space="preserve"> [g/L]</t>
  </si>
  <si>
    <t>[%]</t>
  </si>
  <si>
    <t>Adjusted glucose concentration</t>
  </si>
  <si>
    <t>Adjusted amount of glucose</t>
  </si>
  <si>
    <t>Recovery [%]</t>
  </si>
  <si>
    <t>Standard deviation of recovery [%]</t>
  </si>
  <si>
    <t>3 Sugar recovery standards</t>
  </si>
  <si>
    <t>HPLC data</t>
  </si>
  <si>
    <t>Column</t>
  </si>
  <si>
    <t>Mobile phase</t>
  </si>
  <si>
    <t>g/L</t>
  </si>
  <si>
    <t xml:space="preserve">Rezex ROA H+ (8%) (Phenomenex) </t>
  </si>
  <si>
    <r>
      <t>5 mM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4</t>
    </r>
  </si>
  <si>
    <t>refractive index (Dionex)</t>
  </si>
  <si>
    <t>Column temperature</t>
  </si>
  <si>
    <r>
      <t xml:space="preserve">80 </t>
    </r>
    <r>
      <rPr>
        <sz val="11"/>
        <color theme="1"/>
        <rFont val="Calibri"/>
        <family val="2"/>
      </rPr>
      <t>°C</t>
    </r>
  </si>
  <si>
    <t xml:space="preserve">Flow rate </t>
  </si>
  <si>
    <t>0.8 mL/min</t>
  </si>
  <si>
    <t>% Recovery</t>
  </si>
  <si>
    <t>Glucose conc. before</t>
  </si>
  <si>
    <t>Glucose conc. after</t>
  </si>
  <si>
    <t>Acid treated</t>
  </si>
  <si>
    <t>Conditions</t>
  </si>
  <si>
    <t>Explanation</t>
  </si>
  <si>
    <t>Glucose treated along samples with acid, afterwards autoclaved</t>
  </si>
  <si>
    <t>Autoclaved</t>
  </si>
  <si>
    <t>Glucose autoclaved, but not acid treated</t>
  </si>
  <si>
    <t>Not autoclaved</t>
  </si>
  <si>
    <t>Glucose acid treated, but not autoclaved</t>
  </si>
  <si>
    <t>Glc 1 (10.05.2017) autoclaved</t>
  </si>
  <si>
    <t>Glc 2 autoclaved</t>
  </si>
  <si>
    <t>Glc 3 autoclaved</t>
  </si>
  <si>
    <t>Glc1 (09.05.2017) autoclaved</t>
  </si>
  <si>
    <t>Glc2 autoclaved</t>
  </si>
  <si>
    <t>Glc3 autoclaved</t>
  </si>
  <si>
    <t>Recovery of glucose throughout two-step hydrolysis hydrolysis process</t>
  </si>
  <si>
    <t>Recovery for glucose recovery standards</t>
  </si>
  <si>
    <t>Information on sample origin (process conditions)</t>
  </si>
  <si>
    <t>Volume [mL]</t>
  </si>
  <si>
    <t>B 2-3 *</t>
  </si>
  <si>
    <t>B 3-1 *</t>
  </si>
  <si>
    <t>A 2-1 *</t>
  </si>
  <si>
    <t>Amount of released glucose</t>
  </si>
  <si>
    <t>4 Amount of released glucose</t>
  </si>
  <si>
    <t>Calculation of glucose concentrations taking recovery into account</t>
  </si>
  <si>
    <t>Colour</t>
  </si>
  <si>
    <t>Fermentation dates</t>
  </si>
  <si>
    <t>No pre-adaptation, inoculum size: 5 mg</t>
  </si>
  <si>
    <t xml:space="preserve">Process time </t>
  </si>
  <si>
    <t>[CFU/g]</t>
  </si>
  <si>
    <t>Cell count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</si>
  <si>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t=-0.5 denotes is time point before enzyme addition.</t>
    </r>
  </si>
  <si>
    <r>
      <t xml:space="preserve">2) </t>
    </r>
    <r>
      <rPr>
        <sz val="11"/>
        <color theme="1"/>
        <rFont val="Calibri"/>
        <family val="2"/>
        <scheme val="minor"/>
      </rPr>
      <t>All changes in WIS due to depletion of cellulose to glucose</t>
    </r>
  </si>
  <si>
    <r>
      <t xml:space="preserve">Glucose in  liquid phase t = -0.5 h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</si>
  <si>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 xml:space="preserve">3) </t>
    </r>
    <r>
      <rPr>
        <sz val="11"/>
        <color theme="1"/>
        <rFont val="Calibri"/>
        <family val="2"/>
        <scheme val="minor"/>
      </rPr>
      <t>The glucose concentration in the medium at t= -0.5 h is determined only by the glucose concentration of the liquid phase in the solid substrate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</si>
  <si>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 xml:space="preserve">Glc,t=-0.5 </t>
    </r>
    <r>
      <rPr>
        <b/>
        <sz val="11"/>
        <color theme="1"/>
        <rFont val="Calibri"/>
        <family val="2"/>
        <scheme val="minor"/>
      </rPr>
      <t>[g</t>
    </r>
    <r>
      <rPr>
        <b/>
        <sz val="11"/>
        <color theme="1"/>
        <rFont val="Calibri"/>
        <family val="2"/>
        <scheme val="minor"/>
      </rPr>
      <t>]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</si>
  <si>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 xml:space="preserve">liquid phase in solid substrate </t>
    </r>
    <r>
      <rPr>
        <b/>
        <vertAlign val="superscript"/>
        <sz val="11"/>
        <color theme="1"/>
        <rFont val="Calibri"/>
        <family val="2"/>
        <scheme val="minor"/>
      </rPr>
      <t>4)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[L] 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</si>
  <si>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Glc, liquid phase of solids</t>
    </r>
    <r>
      <rPr>
        <b/>
        <vertAlign val="superscript"/>
        <sz val="11"/>
        <color theme="1"/>
        <rFont val="Calibri"/>
        <family val="2"/>
        <scheme val="minor"/>
      </rPr>
      <t xml:space="preserve">3) </t>
    </r>
    <r>
      <rPr>
        <b/>
        <sz val="11"/>
        <color theme="1"/>
        <rFont val="Calibri"/>
        <family val="2"/>
        <scheme val="minor"/>
      </rPr>
      <t>[g/L</t>
    </r>
    <r>
      <rPr>
        <b/>
        <sz val="11"/>
        <color theme="1"/>
        <rFont val="Calibri"/>
        <family val="2"/>
        <scheme val="minor"/>
      </rPr>
      <t>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</si>
  <si>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Glc,t=-0.5 </t>
    </r>
    <r>
      <rPr>
        <b/>
        <sz val="11"/>
        <color theme="1"/>
        <rFont val="Calibri"/>
        <family val="2"/>
        <scheme val="minor"/>
      </rPr>
      <t>[g/L</t>
    </r>
    <r>
      <rPr>
        <b/>
        <sz val="11"/>
        <color theme="1"/>
        <rFont val="Calibri"/>
        <family val="2"/>
        <scheme val="minor"/>
      </rPr>
      <t>]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</si>
  <si>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 xml:space="preserve">solids used </t>
    </r>
    <r>
      <rPr>
        <b/>
        <sz val="11"/>
        <color theme="1"/>
        <rFont val="Calibri"/>
        <family val="2"/>
        <scheme val="minor"/>
      </rPr>
      <t>[g]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</si>
  <si>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liquid phase, t = -0.5 h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 xml:space="preserve">1) </t>
    </r>
    <r>
      <rPr>
        <b/>
        <sz val="11"/>
        <color theme="1"/>
        <rFont val="Calibri"/>
        <family val="2"/>
        <scheme val="minor"/>
      </rPr>
      <t>[L]</t>
    </r>
  </si>
  <si>
    <r>
      <t>Amount of glucose in liquid phase t = t</t>
    </r>
    <r>
      <rPr>
        <b/>
        <vertAlign val="subscript"/>
        <sz val="11"/>
        <color theme="1"/>
        <rFont val="Calibri"/>
        <family val="2"/>
        <scheme val="minor"/>
      </rPr>
      <t>end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</si>
  <si>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 xml:space="preserve">Glc,liquid phase, t=-t_end </t>
    </r>
    <r>
      <rPr>
        <b/>
        <vertAlign val="superscript"/>
        <sz val="11"/>
        <color theme="1"/>
        <rFont val="Calibri"/>
        <family val="2"/>
        <scheme val="minor"/>
      </rPr>
      <t xml:space="preserve">5) </t>
    </r>
    <r>
      <rPr>
        <b/>
        <sz val="11"/>
        <color theme="1"/>
        <rFont val="Calibri"/>
        <family val="2"/>
        <scheme val="minor"/>
      </rPr>
      <t>[g]</t>
    </r>
  </si>
  <si>
    <r>
      <t xml:space="preserve">5) </t>
    </r>
    <r>
      <rPr>
        <sz val="11"/>
        <color theme="1"/>
        <rFont val="Calibri"/>
        <family val="2"/>
        <scheme val="minor"/>
      </rPr>
      <t xml:space="preserve">The final liquid volume is assumed to be the liquid volume - sampling </t>
    </r>
  </si>
  <si>
    <r>
      <t xml:space="preserve">Sampling </t>
    </r>
    <r>
      <rPr>
        <b/>
        <vertAlign val="superscript"/>
        <sz val="11"/>
        <color theme="1"/>
        <rFont val="Calibri"/>
        <family val="2"/>
        <scheme val="minor"/>
      </rPr>
      <t>6)</t>
    </r>
  </si>
  <si>
    <t>Glucose release</t>
  </si>
  <si>
    <t>Lactate production</t>
  </si>
  <si>
    <t>Lactate at t=0 [g]</t>
  </si>
  <si>
    <r>
      <t>Lactate at t=t</t>
    </r>
    <r>
      <rPr>
        <b/>
        <vertAlign val="subscript"/>
        <sz val="11"/>
        <color theme="1"/>
        <rFont val="Calibri"/>
        <family val="2"/>
        <scheme val="minor"/>
      </rPr>
      <t xml:space="preserve">end </t>
    </r>
    <r>
      <rPr>
        <b/>
        <sz val="11"/>
        <color theme="1"/>
        <rFont val="Calibri"/>
        <family val="2"/>
        <scheme val="minor"/>
      </rPr>
      <t>[g]</t>
    </r>
  </si>
  <si>
    <t>Total lactate produced [g]</t>
  </si>
  <si>
    <t>Process time</t>
  </si>
  <si>
    <t>[kg]</t>
  </si>
  <si>
    <t>Cells</t>
  </si>
  <si>
    <t>[CFU]</t>
  </si>
  <si>
    <t xml:space="preserve"> [g]</t>
  </si>
  <si>
    <r>
      <t xml:space="preserve">6) </t>
    </r>
    <r>
      <rPr>
        <sz val="11"/>
        <color theme="1"/>
        <rFont val="Calibri"/>
        <family val="2"/>
        <scheme val="minor"/>
      </rPr>
      <t xml:space="preserve">The sampling volume is  24 g. 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</si>
  <si>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liquid phase</t>
    </r>
    <r>
      <rPr>
        <b/>
        <vertAlign val="superscript"/>
        <sz val="11"/>
        <color theme="1"/>
        <rFont val="Calibri"/>
        <family val="2"/>
        <scheme val="minor"/>
      </rPr>
      <t xml:space="preserve"> 5)</t>
    </r>
  </si>
  <si>
    <r>
      <t>[g</t>
    </r>
    <r>
      <rPr>
        <b/>
        <vertAlign val="subscript"/>
        <sz val="11"/>
        <color theme="1"/>
        <rFont val="Calibri"/>
        <family val="2"/>
        <scheme val="minor"/>
      </rPr>
      <t>lactate</t>
    </r>
    <r>
      <rPr>
        <b/>
        <sz val="11"/>
        <color theme="1"/>
        <rFont val="Calibri"/>
        <family val="2"/>
        <scheme val="minor"/>
      </rPr>
      <t>/(CFU*h)</t>
    </r>
  </si>
  <si>
    <r>
      <t>[g</t>
    </r>
    <r>
      <rPr>
        <b/>
        <vertAlign val="subscript"/>
        <sz val="11"/>
        <color theme="1"/>
        <rFont val="Calibri"/>
        <family val="2"/>
        <scheme val="minor"/>
      </rPr>
      <t>lactate</t>
    </r>
    <r>
      <rPr>
        <b/>
        <sz val="11"/>
        <color theme="1"/>
        <rFont val="Calibri"/>
        <family val="2"/>
        <scheme val="minor"/>
      </rPr>
      <t>/(L</t>
    </r>
    <r>
      <rPr>
        <b/>
        <vertAlign val="subscript"/>
        <sz val="11"/>
        <color theme="1"/>
        <rFont val="Calibri"/>
        <family val="2"/>
        <scheme val="minor"/>
      </rPr>
      <t>liquid fraction</t>
    </r>
    <r>
      <rPr>
        <b/>
        <sz val="11"/>
        <color theme="1"/>
        <rFont val="Calibri"/>
        <family val="2"/>
        <scheme val="minor"/>
      </rPr>
      <t>*h)]</t>
    </r>
  </si>
  <si>
    <t>5 No pre-adapt. X=5mg</t>
  </si>
  <si>
    <t>No pre-adaptation, inoculum: 10 mg</t>
  </si>
  <si>
    <t>03-03-2017; B</t>
  </si>
  <si>
    <r>
      <t xml:space="preserve">Released glucose from solids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</si>
  <si>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t>Glucose in solids [g] at t = -0.5 h</t>
  </si>
  <si>
    <r>
      <t>Glucose in solids [g] at t = t</t>
    </r>
    <r>
      <rPr>
        <b/>
        <vertAlign val="subscript"/>
        <sz val="11"/>
        <color theme="1"/>
        <rFont val="Calibri"/>
        <family val="2"/>
        <scheme val="minor"/>
      </rPr>
      <t>end</t>
    </r>
  </si>
  <si>
    <t>Released glucose [g]</t>
  </si>
  <si>
    <t>07-04-2017; A</t>
  </si>
  <si>
    <t>6 No pre-adapt. X=10mg</t>
  </si>
  <si>
    <t>Calculations of yields and productivities for seed with 0 % hydrolysate, 10 mg inoculum</t>
  </si>
  <si>
    <t>Calculations of yields and productivities for seed with 0 % hydrolysate, 5 mg inoculum</t>
  </si>
  <si>
    <t>7 30% adapt. X=5mg</t>
  </si>
  <si>
    <t>Calculations of yields and productivities for seed with 30 % hydrolysate, 5 mg inoculum</t>
  </si>
  <si>
    <t>30% pre-adaptation, inoculum: 10 mg</t>
  </si>
  <si>
    <t>10-03-2017; A</t>
  </si>
  <si>
    <t>07-04-2017; B</t>
  </si>
  <si>
    <t>8 30% adapt. X=10</t>
  </si>
  <si>
    <t>Calculations of yields and productivities for seed with 30 % hydrolysate, 10 mg inoculum</t>
  </si>
  <si>
    <t>40% adaptation, inoculum: 5 mg</t>
  </si>
  <si>
    <t>9 40% adapt., X=5mg</t>
  </si>
  <si>
    <t>Calculations of yields and productivities for seed with 40 % hydrolysate, 5 mg inoculum</t>
  </si>
  <si>
    <t>1 Samples</t>
  </si>
  <si>
    <t>40% adaptation, inoculum: 10 mg</t>
  </si>
  <si>
    <t>Total glucose consumed [g]</t>
  </si>
  <si>
    <r>
      <t xml:space="preserve">Yield </t>
    </r>
    <r>
      <rPr>
        <b/>
        <vertAlign val="subscript"/>
        <sz val="11"/>
        <color theme="1"/>
        <rFont val="Calibri"/>
        <family val="2"/>
        <scheme val="minor"/>
      </rPr>
      <t>g(</t>
    </r>
    <r>
      <rPr>
        <b/>
        <vertAlign val="subscript"/>
        <sz val="11"/>
        <rFont val="Calibri"/>
        <family val="2"/>
        <scheme val="minor"/>
      </rPr>
      <t>lactate,produced) / g(glucose,consumed)</t>
    </r>
  </si>
  <si>
    <t>50 % pre-adaptation, inoculum: 10 mg</t>
  </si>
  <si>
    <t>24-03-2017; A</t>
  </si>
  <si>
    <t>10 40% adapt. X=10mg</t>
  </si>
  <si>
    <t>Calculations of yields and productivities for seed with 40 % hydrolysate, 10 mg inoculum</t>
  </si>
  <si>
    <t>11 50% adapt. X=10mg</t>
  </si>
  <si>
    <t>Calculations of yields and productivities for seed with 50 % hydrolysate, 10 mg inoculum</t>
  </si>
  <si>
    <t>24-03-2017; B</t>
  </si>
  <si>
    <t>Total glucose  consumed [g]</t>
  </si>
  <si>
    <r>
      <t xml:space="preserve">Yield </t>
    </r>
    <r>
      <rPr>
        <b/>
        <vertAlign val="subscript"/>
        <sz val="11"/>
        <color theme="1"/>
        <rFont val="Calibri"/>
        <family val="2"/>
        <scheme val="minor"/>
      </rPr>
      <t>g(</t>
    </r>
    <r>
      <rPr>
        <b/>
        <vertAlign val="subscript"/>
        <sz val="11"/>
        <rFont val="Calibri"/>
        <family val="2"/>
        <scheme val="minor"/>
      </rPr>
      <t>lactate,produced) / g(glucose,cosumed)</t>
    </r>
  </si>
  <si>
    <t>Summary</t>
  </si>
  <si>
    <t>for 5mg inoculum</t>
  </si>
  <si>
    <t>% of hydrolysate in</t>
  </si>
  <si>
    <t>pre-adaptation</t>
  </si>
  <si>
    <t>Max. volumetric prodcutivity</t>
  </si>
  <si>
    <t>Average volumetric productivity</t>
  </si>
  <si>
    <t>Max. specific productivity</t>
  </si>
  <si>
    <r>
      <t>[g</t>
    </r>
    <r>
      <rPr>
        <b/>
        <vertAlign val="subscript"/>
        <sz val="11"/>
        <color theme="1"/>
        <rFont val="Calibri"/>
        <family val="2"/>
        <scheme val="minor"/>
      </rPr>
      <t>lactate</t>
    </r>
    <r>
      <rPr>
        <b/>
        <sz val="11"/>
        <color theme="1"/>
        <rFont val="Calibri"/>
        <family val="2"/>
        <scheme val="minor"/>
      </rPr>
      <t>/(L*h]</t>
    </r>
  </si>
  <si>
    <t>for 10mg inoculum</t>
  </si>
  <si>
    <t>30% adaptation, inoculum: 5mg</t>
  </si>
  <si>
    <t>12 Overview</t>
  </si>
  <si>
    <t>Overview over all calculations</t>
  </si>
  <si>
    <t>Calculation of amount of glucose released per g WIS</t>
  </si>
  <si>
    <t>Average specifc productivity</t>
  </si>
  <si>
    <t>Averages</t>
  </si>
  <si>
    <t>Calculations of yield coefficients  and production rates</t>
  </si>
  <si>
    <r>
      <t xml:space="preserve">Yield </t>
    </r>
    <r>
      <rPr>
        <b/>
        <vertAlign val="subscript"/>
        <sz val="11"/>
        <color theme="1"/>
        <rFont val="Calibri"/>
        <family val="2"/>
        <scheme val="minor"/>
      </rPr>
      <t>g(lactate,produced) / g(glucose, released)</t>
    </r>
  </si>
  <si>
    <r>
      <t xml:space="preserve">Yield </t>
    </r>
    <r>
      <rPr>
        <b/>
        <vertAlign val="subscript"/>
        <sz val="11"/>
        <color theme="1"/>
        <rFont val="Calibri"/>
        <family val="2"/>
        <scheme val="minor"/>
      </rPr>
      <t>g(lactate,produced) / gWIS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</si>
  <si>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lactate</t>
    </r>
    <r>
      <rPr>
        <b/>
        <sz val="11"/>
        <color theme="1"/>
        <rFont val="Calibri"/>
        <family val="2"/>
        <scheme val="minor"/>
      </rPr>
      <t>/g</t>
    </r>
    <r>
      <rPr>
        <b/>
        <vertAlign val="subscript"/>
        <sz val="11"/>
        <color theme="1"/>
        <rFont val="Calibri"/>
        <family val="2"/>
        <scheme val="minor"/>
      </rPr>
      <t>glucose, consumed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</si>
  <si>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lactate</t>
    </r>
    <r>
      <rPr>
        <b/>
        <sz val="11"/>
        <color theme="1"/>
        <rFont val="Calibri"/>
        <family val="2"/>
        <scheme val="minor"/>
      </rPr>
      <t>/g</t>
    </r>
    <r>
      <rPr>
        <b/>
        <vertAlign val="subscript"/>
        <sz val="11"/>
        <color theme="1"/>
        <rFont val="Calibri"/>
        <family val="2"/>
        <scheme val="minor"/>
      </rPr>
      <t>glucose,consumed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</si>
  <si>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lactate</t>
    </r>
    <r>
      <rPr>
        <b/>
        <sz val="11"/>
        <color theme="1"/>
        <rFont val="Calibri"/>
        <family val="2"/>
        <scheme val="minor"/>
      </rPr>
      <t>/g</t>
    </r>
    <r>
      <rPr>
        <b/>
        <vertAlign val="subscript"/>
        <sz val="11"/>
        <color theme="1"/>
        <rFont val="Calibri"/>
        <family val="2"/>
        <scheme val="minor"/>
      </rPr>
      <t>glucose,released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</si>
  <si>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lactate</t>
    </r>
    <r>
      <rPr>
        <b/>
        <sz val="11"/>
        <color theme="1"/>
        <rFont val="Calibri"/>
        <family val="2"/>
        <scheme val="minor"/>
      </rPr>
      <t>/g</t>
    </r>
    <r>
      <rPr>
        <b/>
        <vertAlign val="subscript"/>
        <sz val="11"/>
        <color theme="1"/>
        <rFont val="Calibri"/>
        <family val="2"/>
        <scheme val="minor"/>
      </rPr>
      <t>glucose, released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</si>
  <si>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lactate</t>
    </r>
    <r>
      <rPr>
        <b/>
        <sz val="11"/>
        <color theme="1"/>
        <rFont val="Calibri"/>
        <family val="2"/>
        <scheme val="minor"/>
      </rPr>
      <t>/g</t>
    </r>
    <r>
      <rPr>
        <b/>
        <vertAlign val="subscript"/>
        <sz val="11"/>
        <color theme="1"/>
        <rFont val="Calibri"/>
        <family val="2"/>
        <scheme val="minor"/>
      </rPr>
      <t>WIS</t>
    </r>
  </si>
  <si>
    <t>Liquid volume</t>
  </si>
  <si>
    <t>[L]</t>
  </si>
  <si>
    <t>STD</t>
  </si>
  <si>
    <r>
      <t>[10</t>
    </r>
    <r>
      <rPr>
        <b/>
        <vertAlign val="super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*g</t>
    </r>
    <r>
      <rPr>
        <b/>
        <vertAlign val="subscript"/>
        <sz val="11"/>
        <color theme="1"/>
        <rFont val="Calibri"/>
        <family val="2"/>
        <scheme val="minor"/>
      </rPr>
      <t>lactate</t>
    </r>
    <r>
      <rPr>
        <b/>
        <sz val="11"/>
        <color theme="1"/>
        <rFont val="Calibri"/>
        <family val="2"/>
        <scheme val="minor"/>
      </rPr>
      <t>/(CFU*h)</t>
    </r>
  </si>
  <si>
    <r>
      <t xml:space="preserve">4) </t>
    </r>
    <r>
      <rPr>
        <sz val="11"/>
        <color theme="1"/>
        <rFont val="Calibri"/>
        <family val="2"/>
        <scheme val="minor"/>
      </rPr>
      <t>The volume of the liquid phase before enzyme addition is 1.15 L and not changed by base titration.</t>
    </r>
  </si>
  <si>
    <r>
      <t>10</t>
    </r>
    <r>
      <rPr>
        <b/>
        <vertAlign val="superscript"/>
        <sz val="11"/>
        <color theme="1"/>
        <rFont val="Calibri"/>
        <family val="2"/>
        <scheme val="minor"/>
      </rPr>
      <t>-11</t>
    </r>
    <r>
      <rPr>
        <b/>
        <sz val="11"/>
        <color theme="1"/>
        <rFont val="Calibri"/>
        <family val="2"/>
        <scheme val="minor"/>
      </rPr>
      <t>*g</t>
    </r>
    <r>
      <rPr>
        <b/>
        <vertAlign val="subscript"/>
        <sz val="11"/>
        <color theme="1"/>
        <rFont val="Calibri"/>
        <family val="2"/>
        <scheme val="minor"/>
      </rPr>
      <t>lactate</t>
    </r>
    <r>
      <rPr>
        <b/>
        <sz val="11"/>
        <color theme="1"/>
        <rFont val="Calibri"/>
        <family val="2"/>
        <scheme val="minor"/>
      </rPr>
      <t>/(CFU*h)</t>
    </r>
  </si>
  <si>
    <t>Max. vol. prod.</t>
  </si>
  <si>
    <t>Avg. vol. prod.</t>
  </si>
  <si>
    <t>Avg. spec. prod.</t>
  </si>
  <si>
    <t>Max. spec. prod.</t>
  </si>
  <si>
    <t>ln(lactate)</t>
  </si>
  <si>
    <t>ln(Lactate)</t>
  </si>
  <si>
    <r>
      <t>ln(Lactate</t>
    </r>
    <r>
      <rPr>
        <vertAlign val="subscript"/>
        <sz val="11"/>
        <color theme="1"/>
        <rFont val="Calibri"/>
        <family val="2"/>
        <scheme val="minor"/>
      </rPr>
      <t>Start</t>
    </r>
    <r>
      <rPr>
        <sz val="11"/>
        <color theme="1"/>
        <rFont val="Calibri"/>
        <family val="2"/>
        <scheme val="minor"/>
      </rPr>
      <t>)</t>
    </r>
  </si>
  <si>
    <t>Fermentation date</t>
  </si>
  <si>
    <t xml:space="preserve">Average ln(lactate) </t>
  </si>
  <si>
    <t xml:space="preserve">Average ln(Lactate) </t>
  </si>
  <si>
    <t>NaN</t>
  </si>
  <si>
    <t>13 Additional graphs</t>
  </si>
  <si>
    <t>Graphs showing lag phase</t>
  </si>
  <si>
    <r>
      <rPr>
        <b/>
        <sz val="11"/>
        <color theme="1"/>
        <rFont val="Calibri"/>
        <family val="2"/>
        <scheme val="minor"/>
      </rPr>
      <t>Additional figure 1:</t>
    </r>
    <r>
      <rPr>
        <sz val="11"/>
        <color theme="1"/>
        <rFont val="Calibri"/>
        <family val="2"/>
        <scheme val="minor"/>
      </rPr>
      <t xml:space="preserve"> Lag phase identification by logarithmic transformation of </t>
    </r>
  </si>
  <si>
    <t xml:space="preserve">lactate concentrations. The lag phase is defined as the time at the intercept </t>
  </si>
  <si>
    <t>between the initial value and the back-extrapolated slope of the log phase.</t>
  </si>
  <si>
    <t>As the time at the intercept is the initial value for all four conditions, it can</t>
  </si>
  <si>
    <r>
      <rPr>
        <b/>
        <sz val="11"/>
        <color theme="1"/>
        <rFont val="Calibri"/>
        <family val="2"/>
        <scheme val="minor"/>
      </rPr>
      <t>Additional figure 2:</t>
    </r>
    <r>
      <rPr>
        <sz val="11"/>
        <color theme="1"/>
        <rFont val="Calibri"/>
        <family val="2"/>
        <scheme val="minor"/>
      </rPr>
      <t xml:space="preserve"> Lag phase identification by logarithmic transformation of </t>
    </r>
  </si>
  <si>
    <t>is defined as the time at the intercept between the initial value and the back-</t>
  </si>
  <si>
    <t xml:space="preserve">extrapolated slope of the log phase.When inoculating cells propagated with </t>
  </si>
  <si>
    <t xml:space="preserve">30 % hydrolysate, there was no lag phase visible while in processes with cells </t>
  </si>
  <si>
    <t xml:space="preserve">propagated with 40 % hydrolysate there was a lag phase of 5 h. If the cells were </t>
  </si>
  <si>
    <t>propagated with 0 % hydrolysate, the lag phase lasted 10 h.</t>
  </si>
  <si>
    <r>
      <t>lactate concentrations for SSFs inoculated with 0.005 g</t>
    </r>
    <r>
      <rPr>
        <vertAlign val="subscript"/>
        <sz val="11"/>
        <color theme="1"/>
        <rFont val="Calibri"/>
        <family val="2"/>
        <scheme val="minor"/>
      </rPr>
      <t>Cells</t>
    </r>
    <r>
      <rPr>
        <sz val="11"/>
        <color theme="1"/>
        <rFont val="Calibri"/>
        <family val="2"/>
        <scheme val="minor"/>
      </rPr>
      <t>/g</t>
    </r>
    <r>
      <rPr>
        <vertAlign val="subscript"/>
        <sz val="11"/>
        <color theme="1"/>
        <rFont val="Calibri"/>
        <family val="2"/>
        <scheme val="minor"/>
      </rPr>
      <t>WIS</t>
    </r>
    <r>
      <rPr>
        <sz val="11"/>
        <color theme="1"/>
        <rFont val="Calibri"/>
        <family val="2"/>
        <scheme val="minor"/>
      </rPr>
      <t xml:space="preserve">. The lag phase </t>
    </r>
  </si>
  <si>
    <t xml:space="preserve">be concluded that there were no lag phases when inoculating the SSFs with </t>
  </si>
  <si>
    <t>0.01 gCells/gWIS.</t>
  </si>
  <si>
    <t>Weight 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</si>
</sst>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E+00"/>
    <numFmt numFmtId="166" formatCode="0E+00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31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0" fillId="3" borderId="0" xfId="0" applyFill="1" applyBorder="1"/>
    <xf numFmtId="0" fontId="0" fillId="3" borderId="7" xfId="0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9" xfId="0" applyFill="1" applyBorder="1"/>
    <xf numFmtId="0" fontId="2" fillId="4" borderId="10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5" borderId="0" xfId="0" applyFill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1" fontId="0" fillId="2" borderId="0" xfId="0" applyNumberFormat="1" applyFill="1" applyBorder="1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/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1" fontId="0" fillId="2" borderId="5" xfId="0" applyNumberFormat="1" applyFill="1" applyBorder="1" applyAlignment="1">
      <alignment horizontal="center"/>
    </xf>
    <xf numFmtId="0" fontId="6" fillId="2" borderId="0" xfId="0" applyFont="1" applyFill="1"/>
    <xf numFmtId="0" fontId="0" fillId="3" borderId="0" xfId="0" applyFill="1"/>
    <xf numFmtId="0" fontId="5" fillId="2" borderId="0" xfId="0" applyFont="1" applyFill="1"/>
    <xf numFmtId="11" fontId="1" fillId="2" borderId="0" xfId="0" applyNumberFormat="1" applyFont="1" applyFill="1"/>
    <xf numFmtId="0" fontId="2" fillId="2" borderId="7" xfId="0" applyFont="1" applyFill="1" applyBorder="1" applyAlignment="1">
      <alignment horizontal="center"/>
    </xf>
    <xf numFmtId="11" fontId="0" fillId="2" borderId="0" xfId="0" applyNumberForma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1" fontId="0" fillId="2" borderId="3" xfId="0" applyNumberFormat="1" applyFill="1" applyBorder="1" applyAlignment="1">
      <alignment horizontal="center"/>
    </xf>
    <xf numFmtId="0" fontId="7" fillId="2" borderId="0" xfId="0" applyFont="1" applyFill="1"/>
    <xf numFmtId="11" fontId="5" fillId="2" borderId="0" xfId="0" applyNumberFormat="1" applyFont="1" applyFill="1"/>
    <xf numFmtId="0" fontId="0" fillId="2" borderId="13" xfId="0" applyFill="1" applyBorder="1"/>
    <xf numFmtId="0" fontId="0" fillId="2" borderId="14" xfId="0" applyFill="1" applyBorder="1"/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/>
    <xf numFmtId="11" fontId="0" fillId="2" borderId="7" xfId="0" applyNumberFormat="1" applyFill="1" applyBorder="1" applyAlignment="1">
      <alignment horizont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15" fontId="8" fillId="6" borderId="15" xfId="0" applyNumberFormat="1" applyFont="1" applyFill="1" applyBorder="1" applyAlignment="1">
      <alignment horizontal="center" vertical="center"/>
    </xf>
    <xf numFmtId="2" fontId="8" fillId="6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15" fontId="8" fillId="7" borderId="15" xfId="0" applyNumberFormat="1" applyFont="1" applyFill="1" applyBorder="1" applyAlignment="1">
      <alignment horizontal="center" vertical="center"/>
    </xf>
    <xf numFmtId="2" fontId="8" fillId="7" borderId="15" xfId="0" applyNumberFormat="1" applyFont="1" applyFill="1" applyBorder="1" applyAlignment="1">
      <alignment horizontal="center" vertical="center"/>
    </xf>
    <xf numFmtId="2" fontId="9" fillId="8" borderId="15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15" fontId="8" fillId="9" borderId="15" xfId="0" applyNumberFormat="1" applyFont="1" applyFill="1" applyBorder="1" applyAlignment="1">
      <alignment horizontal="center" vertical="center"/>
    </xf>
    <xf numFmtId="2" fontId="8" fillId="9" borderId="15" xfId="0" applyNumberFormat="1" applyFont="1" applyFill="1" applyBorder="1" applyAlignment="1">
      <alignment horizontal="center" vertical="center"/>
    </xf>
    <xf numFmtId="49" fontId="8" fillId="9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5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15" fontId="8" fillId="10" borderId="15" xfId="0" applyNumberFormat="1" applyFont="1" applyFill="1" applyBorder="1" applyAlignment="1">
      <alignment horizontal="center" vertical="center"/>
    </xf>
    <xf numFmtId="2" fontId="8" fillId="10" borderId="15" xfId="0" applyNumberFormat="1" applyFont="1" applyFill="1" applyBorder="1" applyAlignment="1">
      <alignment horizontal="center" vertical="center"/>
    </xf>
    <xf numFmtId="2" fontId="9" fillId="11" borderId="15" xfId="0" applyNumberFormat="1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15" fontId="8" fillId="12" borderId="15" xfId="0" applyNumberFormat="1" applyFont="1" applyFill="1" applyBorder="1" applyAlignment="1">
      <alignment horizontal="center" vertical="center"/>
    </xf>
    <xf numFmtId="2" fontId="8" fillId="12" borderId="15" xfId="0" applyNumberFormat="1" applyFont="1" applyFill="1" applyBorder="1" applyAlignment="1">
      <alignment horizontal="center" vertical="center"/>
    </xf>
    <xf numFmtId="2" fontId="9" fillId="13" borderId="15" xfId="0" applyNumberFormat="1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vertical="center"/>
    </xf>
    <xf numFmtId="15" fontId="8" fillId="14" borderId="15" xfId="0" applyNumberFormat="1" applyFont="1" applyFill="1" applyBorder="1" applyAlignment="1">
      <alignment horizontal="center" vertical="center"/>
    </xf>
    <xf numFmtId="2" fontId="8" fillId="14" borderId="15" xfId="0" applyNumberFormat="1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/>
    </xf>
    <xf numFmtId="15" fontId="8" fillId="15" borderId="15" xfId="0" applyNumberFormat="1" applyFont="1" applyFill="1" applyBorder="1" applyAlignment="1">
      <alignment horizontal="center" vertical="center"/>
    </xf>
    <xf numFmtId="2" fontId="8" fillId="15" borderId="15" xfId="0" applyNumberFormat="1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15" fontId="8" fillId="16" borderId="15" xfId="0" applyNumberFormat="1" applyFont="1" applyFill="1" applyBorder="1" applyAlignment="1">
      <alignment horizontal="center" vertical="center"/>
    </xf>
    <xf numFmtId="2" fontId="8" fillId="16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1" fillId="2" borderId="0" xfId="0" applyNumberFormat="1" applyFont="1" applyFill="1"/>
    <xf numFmtId="2" fontId="5" fillId="2" borderId="0" xfId="0" applyNumberFormat="1" applyFont="1" applyFill="1"/>
    <xf numFmtId="0" fontId="2" fillId="3" borderId="0" xfId="0" applyFont="1" applyFill="1"/>
    <xf numFmtId="0" fontId="2" fillId="18" borderId="0" xfId="0" applyFont="1" applyFill="1"/>
    <xf numFmtId="0" fontId="0" fillId="18" borderId="0" xfId="0" applyFill="1"/>
    <xf numFmtId="0" fontId="0" fillId="21" borderId="0" xfId="0" applyFill="1"/>
    <xf numFmtId="10" fontId="0" fillId="2" borderId="0" xfId="0" applyNumberFormat="1" applyFill="1"/>
    <xf numFmtId="0" fontId="13" fillId="6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0" fontId="2" fillId="20" borderId="1" xfId="0" applyFont="1" applyFill="1" applyBorder="1"/>
    <xf numFmtId="0" fontId="2" fillId="3" borderId="2" xfId="0" applyFont="1" applyFill="1" applyBorder="1"/>
    <xf numFmtId="0" fontId="2" fillId="20" borderId="4" xfId="0" applyFont="1" applyFill="1" applyBorder="1"/>
    <xf numFmtId="0" fontId="2" fillId="3" borderId="0" xfId="0" applyFont="1" applyFill="1" applyBorder="1"/>
    <xf numFmtId="0" fontId="0" fillId="20" borderId="4" xfId="0" applyFill="1" applyBorder="1"/>
    <xf numFmtId="0" fontId="0" fillId="20" borderId="6" xfId="0" applyFill="1" applyBorder="1"/>
    <xf numFmtId="0" fontId="2" fillId="3" borderId="7" xfId="0" applyFont="1" applyFill="1" applyBorder="1"/>
    <xf numFmtId="0" fontId="0" fillId="22" borderId="4" xfId="0" applyFill="1" applyBorder="1"/>
    <xf numFmtId="0" fontId="0" fillId="22" borderId="0" xfId="0" applyFill="1" applyBorder="1"/>
    <xf numFmtId="0" fontId="0" fillId="22" borderId="0" xfId="0" applyFill="1" applyBorder="1" applyAlignment="1">
      <alignment horizontal="center"/>
    </xf>
    <xf numFmtId="0" fontId="0" fillId="22" borderId="5" xfId="0" applyFill="1" applyBorder="1" applyAlignment="1">
      <alignment horizont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49" fontId="13" fillId="9" borderId="4" xfId="0" applyNumberFormat="1" applyFont="1" applyFill="1" applyBorder="1" applyAlignment="1">
      <alignment horizontal="center" vertical="center"/>
    </xf>
    <xf numFmtId="49" fontId="13" fillId="9" borderId="5" xfId="0" applyNumberFormat="1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/>
    </xf>
    <xf numFmtId="0" fontId="13" fillId="16" borderId="4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 vertical="center"/>
    </xf>
    <xf numFmtId="2" fontId="13" fillId="3" borderId="4" xfId="0" applyNumberFormat="1" applyFont="1" applyFill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center" vertical="center"/>
    </xf>
    <xf numFmtId="2" fontId="13" fillId="3" borderId="8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2" fillId="4" borderId="9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7" borderId="0" xfId="0" applyFill="1"/>
    <xf numFmtId="0" fontId="0" fillId="4" borderId="0" xfId="0" applyFill="1"/>
    <xf numFmtId="0" fontId="0" fillId="17" borderId="0" xfId="0" applyFill="1"/>
    <xf numFmtId="0" fontId="2" fillId="28" borderId="0" xfId="0" applyFont="1" applyFill="1"/>
    <xf numFmtId="0" fontId="0" fillId="28" borderId="0" xfId="0" applyFill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0" xfId="0" applyFont="1" applyFill="1" applyBorder="1"/>
    <xf numFmtId="0" fontId="2" fillId="26" borderId="0" xfId="0" applyFont="1" applyFill="1"/>
    <xf numFmtId="0" fontId="6" fillId="2" borderId="0" xfId="0" applyFont="1" applyFill="1" applyBorder="1"/>
    <xf numFmtId="0" fontId="12" fillId="29" borderId="0" xfId="0" applyFont="1" applyFill="1"/>
    <xf numFmtId="0" fontId="0" fillId="18" borderId="0" xfId="0" applyFill="1" applyBorder="1"/>
    <xf numFmtId="0" fontId="2" fillId="18" borderId="0" xfId="0" applyFont="1" applyFill="1" applyBorder="1"/>
    <xf numFmtId="0" fontId="5" fillId="18" borderId="0" xfId="0" applyFont="1" applyFill="1" applyBorder="1"/>
    <xf numFmtId="0" fontId="5" fillId="26" borderId="0" xfId="0" applyFont="1" applyFill="1" applyBorder="1"/>
    <xf numFmtId="0" fontId="2" fillId="2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26" borderId="1" xfId="0" applyFont="1" applyFill="1" applyBorder="1"/>
    <xf numFmtId="0" fontId="2" fillId="26" borderId="3" xfId="0" applyFont="1" applyFill="1" applyBorder="1"/>
    <xf numFmtId="0" fontId="2" fillId="26" borderId="6" xfId="0" applyFont="1" applyFill="1" applyBorder="1"/>
    <xf numFmtId="0" fontId="2" fillId="26" borderId="8" xfId="0" applyFont="1" applyFill="1" applyBorder="1"/>
    <xf numFmtId="0" fontId="17" fillId="2" borderId="4" xfId="0" applyFont="1" applyFill="1" applyBorder="1" applyAlignment="1">
      <alignment horizontal="center"/>
    </xf>
    <xf numFmtId="11" fontId="0" fillId="2" borderId="2" xfId="0" applyNumberFormat="1" applyFill="1" applyBorder="1" applyAlignment="1">
      <alignment horizontal="center"/>
    </xf>
    <xf numFmtId="11" fontId="17" fillId="2" borderId="5" xfId="0" applyNumberFormat="1" applyFont="1" applyFill="1" applyBorder="1" applyAlignment="1">
      <alignment horizontal="center"/>
    </xf>
    <xf numFmtId="11" fontId="1" fillId="2" borderId="0" xfId="0" applyNumberFormat="1" applyFont="1" applyFill="1" applyBorder="1"/>
    <xf numFmtId="2" fontId="5" fillId="2" borderId="0" xfId="0" applyNumberFormat="1" applyFont="1" applyFill="1" applyBorder="1"/>
    <xf numFmtId="11" fontId="5" fillId="2" borderId="0" xfId="0" applyNumberFormat="1" applyFont="1" applyFill="1" applyBorder="1"/>
    <xf numFmtId="0" fontId="0" fillId="30" borderId="0" xfId="0" applyFill="1"/>
    <xf numFmtId="2" fontId="1" fillId="2" borderId="0" xfId="0" applyNumberFormat="1" applyFont="1" applyFill="1" applyBorder="1"/>
    <xf numFmtId="0" fontId="17" fillId="2" borderId="6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0" fillId="19" borderId="0" xfId="0" applyFill="1"/>
    <xf numFmtId="0" fontId="0" fillId="31" borderId="0" xfId="0" applyFill="1"/>
    <xf numFmtId="2" fontId="0" fillId="2" borderId="0" xfId="0" applyNumberFormat="1" applyFill="1"/>
    <xf numFmtId="11" fontId="0" fillId="2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0" fontId="0" fillId="2" borderId="0" xfId="0" applyFill="1" applyAlignment="1"/>
    <xf numFmtId="9" fontId="5" fillId="26" borderId="0" xfId="17" applyFont="1" applyFill="1" applyBorder="1"/>
    <xf numFmtId="9" fontId="0" fillId="2" borderId="10" xfId="17" applyFont="1" applyFill="1" applyBorder="1"/>
    <xf numFmtId="9" fontId="0" fillId="2" borderId="11" xfId="17" applyFont="1" applyFill="1" applyBorder="1"/>
    <xf numFmtId="2" fontId="0" fillId="18" borderId="0" xfId="0" applyNumberFormat="1" applyFill="1" applyBorder="1"/>
    <xf numFmtId="2" fontId="5" fillId="18" borderId="0" xfId="0" applyNumberFormat="1" applyFont="1" applyFill="1" applyBorder="1"/>
    <xf numFmtId="2" fontId="0" fillId="18" borderId="0" xfId="0" applyNumberFormat="1" applyFill="1" applyBorder="1" applyAlignment="1">
      <alignment horizontal="right"/>
    </xf>
    <xf numFmtId="2" fontId="5" fillId="18" borderId="0" xfId="0" applyNumberFormat="1" applyFont="1" applyFill="1" applyBorder="1" applyAlignment="1">
      <alignment horizontal="right"/>
    </xf>
    <xf numFmtId="2" fontId="5" fillId="26" borderId="0" xfId="0" applyNumberFormat="1" applyFont="1" applyFill="1" applyBorder="1"/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2" fillId="26" borderId="0" xfId="0" applyFont="1" applyFill="1" applyBorder="1"/>
    <xf numFmtId="164" fontId="5" fillId="26" borderId="0" xfId="18" applyFont="1" applyFill="1" applyBorder="1"/>
    <xf numFmtId="2" fontId="0" fillId="2" borderId="1" xfId="0" applyNumberFormat="1" applyFill="1" applyBorder="1" applyAlignment="1">
      <alignment horizontal="center"/>
    </xf>
    <xf numFmtId="2" fontId="2" fillId="18" borderId="0" xfId="0" applyNumberFormat="1" applyFont="1" applyFill="1" applyBorder="1"/>
    <xf numFmtId="0" fontId="0" fillId="32" borderId="10" xfId="0" applyFill="1" applyBorder="1" applyAlignment="1">
      <alignment horizontal="center"/>
    </xf>
    <xf numFmtId="2" fontId="0" fillId="32" borderId="4" xfId="0" applyNumberFormat="1" applyFill="1" applyBorder="1" applyAlignment="1">
      <alignment horizontal="center"/>
    </xf>
    <xf numFmtId="2" fontId="0" fillId="32" borderId="0" xfId="0" applyNumberFormat="1" applyFill="1" applyBorder="1" applyAlignment="1">
      <alignment horizontal="center"/>
    </xf>
    <xf numFmtId="11" fontId="0" fillId="32" borderId="0" xfId="0" applyNumberFormat="1" applyFill="1" applyBorder="1" applyAlignment="1">
      <alignment horizontal="center"/>
    </xf>
    <xf numFmtId="2" fontId="0" fillId="32" borderId="5" xfId="0" applyNumberFormat="1" applyFill="1" applyBorder="1" applyAlignment="1">
      <alignment horizontal="center"/>
    </xf>
    <xf numFmtId="2" fontId="17" fillId="32" borderId="4" xfId="0" applyNumberFormat="1" applyFont="1" applyFill="1" applyBorder="1" applyAlignment="1">
      <alignment horizontal="center"/>
    </xf>
    <xf numFmtId="11" fontId="17" fillId="32" borderId="5" xfId="0" applyNumberFormat="1" applyFont="1" applyFill="1" applyBorder="1" applyAlignment="1">
      <alignment horizontal="center"/>
    </xf>
    <xf numFmtId="11" fontId="0" fillId="32" borderId="5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2" fontId="0" fillId="32" borderId="7" xfId="0" applyNumberFormat="1" applyFill="1" applyBorder="1" applyAlignment="1">
      <alignment horizontal="center"/>
    </xf>
    <xf numFmtId="11" fontId="0" fillId="32" borderId="7" xfId="0" applyNumberFormat="1" applyFill="1" applyBorder="1" applyAlignment="1">
      <alignment horizontal="center"/>
    </xf>
    <xf numFmtId="2" fontId="0" fillId="32" borderId="8" xfId="0" applyNumberFormat="1" applyFill="1" applyBorder="1" applyAlignment="1">
      <alignment horizontal="center"/>
    </xf>
    <xf numFmtId="0" fontId="0" fillId="32" borderId="4" xfId="0" applyFill="1" applyBorder="1" applyAlignment="1">
      <alignment horizontal="center"/>
    </xf>
    <xf numFmtId="0" fontId="0" fillId="32" borderId="5" xfId="0" applyFill="1" applyBorder="1" applyAlignment="1">
      <alignment horizontal="center"/>
    </xf>
    <xf numFmtId="2" fontId="0" fillId="32" borderId="6" xfId="0" applyNumberFormat="1" applyFill="1" applyBorder="1" applyAlignment="1">
      <alignment horizontal="center"/>
    </xf>
    <xf numFmtId="0" fontId="17" fillId="32" borderId="4" xfId="0" applyFont="1" applyFill="1" applyBorder="1" applyAlignment="1">
      <alignment horizontal="center"/>
    </xf>
    <xf numFmtId="0" fontId="17" fillId="32" borderId="5" xfId="0" applyFont="1" applyFill="1" applyBorder="1" applyAlignment="1">
      <alignment horizontal="center"/>
    </xf>
    <xf numFmtId="11" fontId="0" fillId="2" borderId="0" xfId="0" applyNumberFormat="1" applyFont="1" applyFill="1" applyBorder="1"/>
    <xf numFmtId="0" fontId="0" fillId="2" borderId="5" xfId="0" applyFont="1" applyFill="1" applyBorder="1"/>
    <xf numFmtId="0" fontId="0" fillId="2" borderId="8" xfId="0" applyFont="1" applyFill="1" applyBorder="1"/>
    <xf numFmtId="167" fontId="0" fillId="2" borderId="7" xfId="0" applyNumberFormat="1" applyFill="1" applyBorder="1" applyAlignment="1">
      <alignment horizontal="center"/>
    </xf>
    <xf numFmtId="9" fontId="17" fillId="2" borderId="10" xfId="17" applyFont="1" applyFill="1" applyBorder="1"/>
    <xf numFmtId="167" fontId="17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17" fillId="2" borderId="0" xfId="0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2" fontId="17" fillId="2" borderId="7" xfId="0" applyNumberFormat="1" applyFont="1" applyFill="1" applyBorder="1" applyAlignment="1">
      <alignment horizontal="center"/>
    </xf>
    <xf numFmtId="2" fontId="17" fillId="2" borderId="8" xfId="0" applyNumberFormat="1" applyFont="1" applyFill="1" applyBorder="1" applyAlignment="1">
      <alignment horizontal="center"/>
    </xf>
    <xf numFmtId="9" fontId="17" fillId="2" borderId="11" xfId="17" applyFont="1" applyFill="1" applyBorder="1"/>
    <xf numFmtId="0" fontId="0" fillId="2" borderId="0" xfId="0" applyFill="1" applyAlignment="1">
      <alignment horizontal="center"/>
    </xf>
    <xf numFmtId="11" fontId="17" fillId="2" borderId="0" xfId="0" applyNumberFormat="1" applyFont="1" applyFill="1" applyBorder="1" applyAlignment="1">
      <alignment horizontal="center"/>
    </xf>
    <xf numFmtId="0" fontId="17" fillId="2" borderId="5" xfId="0" applyNumberFormat="1" applyFont="1" applyFill="1" applyBorder="1" applyAlignment="1">
      <alignment horizontal="center"/>
    </xf>
    <xf numFmtId="2" fontId="0" fillId="2" borderId="1" xfId="0" applyNumberFormat="1" applyFill="1" applyBorder="1"/>
    <xf numFmtId="2" fontId="0" fillId="2" borderId="3" xfId="0" applyNumberFormat="1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8" xfId="0" applyNumberFormat="1" applyFill="1" applyBorder="1"/>
    <xf numFmtId="2" fontId="0" fillId="2" borderId="0" xfId="0" applyNumberFormat="1" applyFill="1" applyBorder="1"/>
    <xf numFmtId="0" fontId="2" fillId="26" borderId="2" xfId="0" applyFont="1" applyFill="1" applyBorder="1"/>
    <xf numFmtId="0" fontId="2" fillId="26" borderId="7" xfId="0" applyFont="1" applyFill="1" applyBorder="1"/>
    <xf numFmtId="2" fontId="0" fillId="32" borderId="4" xfId="0" applyNumberFormat="1" applyFill="1" applyBorder="1"/>
    <xf numFmtId="2" fontId="0" fillId="32" borderId="5" xfId="0" applyNumberFormat="1" applyFill="1" applyBorder="1"/>
    <xf numFmtId="2" fontId="0" fillId="32" borderId="6" xfId="0" applyNumberFormat="1" applyFill="1" applyBorder="1"/>
    <xf numFmtId="2" fontId="0" fillId="32" borderId="8" xfId="0" applyNumberFormat="1" applyFill="1" applyBorder="1"/>
    <xf numFmtId="2" fontId="0" fillId="32" borderId="7" xfId="0" applyNumberFormat="1" applyFill="1" applyBorder="1"/>
    <xf numFmtId="0" fontId="0" fillId="33" borderId="0" xfId="0" applyFill="1"/>
    <xf numFmtId="2" fontId="5" fillId="26" borderId="4" xfId="0" applyNumberFormat="1" applyFont="1" applyFill="1" applyBorder="1" applyAlignment="1">
      <alignment horizontal="center"/>
    </xf>
    <xf numFmtId="11" fontId="5" fillId="26" borderId="5" xfId="0" applyNumberFormat="1" applyFont="1" applyFill="1" applyBorder="1" applyAlignment="1">
      <alignment horizontal="center"/>
    </xf>
    <xf numFmtId="2" fontId="5" fillId="26" borderId="6" xfId="0" applyNumberFormat="1" applyFont="1" applyFill="1" applyBorder="1" applyAlignment="1">
      <alignment horizontal="center"/>
    </xf>
    <xf numFmtId="11" fontId="5" fillId="26" borderId="8" xfId="0" applyNumberFormat="1" applyFont="1" applyFill="1" applyBorder="1" applyAlignment="1">
      <alignment horizontal="center"/>
    </xf>
    <xf numFmtId="0" fontId="2" fillId="26" borderId="1" xfId="0" applyFont="1" applyFill="1" applyBorder="1" applyAlignment="1">
      <alignment horizontal="center"/>
    </xf>
    <xf numFmtId="0" fontId="2" fillId="26" borderId="3" xfId="0" applyFont="1" applyFill="1" applyBorder="1" applyAlignment="1">
      <alignment horizontal="center"/>
    </xf>
    <xf numFmtId="2" fontId="0" fillId="18" borderId="0" xfId="0" applyNumberFormat="1" applyFill="1"/>
    <xf numFmtId="2" fontId="0" fillId="2" borderId="4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9" fontId="0" fillId="2" borderId="0" xfId="17" applyNumberFormat="1" applyFont="1" applyFill="1"/>
    <xf numFmtId="0" fontId="0" fillId="2" borderId="0" xfId="0" applyFill="1" applyAlignment="1">
      <alignment horizontal="center"/>
    </xf>
  </cellXfs>
  <cellStyles count="19">
    <cellStyle name="Comma" xfId="18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ln(Lactate) for</a:t>
            </a:r>
            <a:r>
              <a:rPr lang="en-US" baseline="0"/>
              <a:t> 10 mg/g inocula</a:t>
            </a:r>
            <a:endParaRPr lang="en-US"/>
          </a:p>
        </c:rich>
      </c:tx>
      <c:layout>
        <c:manualLayout>
          <c:xMode val="edge"/>
          <c:yMode val="edge"/>
          <c:x val="0.2645833333333333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0%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'6 No pre-adapt. X=10mg'!$V$15:$V$24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'6 No pre-adapt. X=10mg'!$AD$15:$AD$24</c:f>
              <c:numCache>
                <c:formatCode>0.00</c:formatCode>
                <c:ptCount val="10"/>
                <c:pt idx="0">
                  <c:v>-0.69098124919990678</c:v>
                </c:pt>
                <c:pt idx="1">
                  <c:v>0.85207955860617679</c:v>
                </c:pt>
                <c:pt idx="2">
                  <c:v>2.058800834272577</c:v>
                </c:pt>
                <c:pt idx="3">
                  <c:v>2.7433363957098349</c:v>
                </c:pt>
                <c:pt idx="4">
                  <c:v>3.1052840882671235</c:v>
                </c:pt>
                <c:pt idx="5">
                  <c:v>3.2596250787970433</c:v>
                </c:pt>
                <c:pt idx="6">
                  <c:v>3.4596882291414195</c:v>
                </c:pt>
                <c:pt idx="7">
                  <c:v>3.5287436310861651</c:v>
                </c:pt>
                <c:pt idx="8">
                  <c:v>3.5597954315567559</c:v>
                </c:pt>
                <c:pt idx="9">
                  <c:v>3.5879595683577303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D3-4839-8C91-7ABF1E76E28C}"/>
            </c:ext>
          </c:extLst>
        </c:ser>
        <c:ser>
          <c:idx val="2"/>
          <c:order val="1"/>
          <c:tx>
            <c:v>30%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'8 30% adapt. X=10'!$V$15:$V$24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'8 30% adapt. X=10'!$AD$15:$AD$24</c:f>
              <c:numCache>
                <c:formatCode>0.00</c:formatCode>
                <c:ptCount val="10"/>
                <c:pt idx="0">
                  <c:v>-0.63156821486503556</c:v>
                </c:pt>
                <c:pt idx="1">
                  <c:v>1.9527251426668877</c:v>
                </c:pt>
                <c:pt idx="2">
                  <c:v>2.928815607345264</c:v>
                </c:pt>
                <c:pt idx="3">
                  <c:v>3.3549294298824286</c:v>
                </c:pt>
                <c:pt idx="4">
                  <c:v>3.4805657216208239</c:v>
                </c:pt>
                <c:pt idx="5">
                  <c:v>3.4936684420529707</c:v>
                </c:pt>
                <c:pt idx="6">
                  <c:v>3.5124048075616603</c:v>
                </c:pt>
                <c:pt idx="7">
                  <c:v>3.5438288924930736</c:v>
                </c:pt>
                <c:pt idx="8">
                  <c:v>3.5395899211811859</c:v>
                </c:pt>
                <c:pt idx="9">
                  <c:v>3.5511749534015502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D3-4839-8C91-7ABF1E76E28C}"/>
            </c:ext>
          </c:extLst>
        </c:ser>
        <c:ser>
          <c:idx val="3"/>
          <c:order val="2"/>
          <c:tx>
            <c:v>40%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 40% adapt. X=10mg'!$V$11:$V$20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'10 40% adapt. X=10mg'!$AC$11:$AC$20</c:f>
              <c:numCache>
                <c:formatCode>0.00</c:formatCode>
                <c:ptCount val="10"/>
                <c:pt idx="0">
                  <c:v>-0.17760867986545031</c:v>
                </c:pt>
                <c:pt idx="1">
                  <c:v>2.0307024457064013</c:v>
                </c:pt>
                <c:pt idx="2">
                  <c:v>2.6321266938615944</c:v>
                </c:pt>
                <c:pt idx="3">
                  <c:v>3.0355613266310129</c:v>
                </c:pt>
                <c:pt idx="4">
                  <c:v>3.3286053079535893</c:v>
                </c:pt>
                <c:pt idx="5">
                  <c:v>3.4550445092399067</c:v>
                </c:pt>
                <c:pt idx="6">
                  <c:v>3.6820574198645777</c:v>
                </c:pt>
                <c:pt idx="7">
                  <c:v>3.5894245360366259</c:v>
                </c:pt>
                <c:pt idx="8">
                  <c:v>3.5847790641641089</c:v>
                </c:pt>
                <c:pt idx="9">
                  <c:v>3.5680057385982744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D3-4839-8C91-7ABF1E76E28C}"/>
            </c:ext>
          </c:extLst>
        </c:ser>
        <c:ser>
          <c:idx val="0"/>
          <c:order val="3"/>
          <c:tx>
            <c:v>50%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'11 50% adapt. X=10mg'!$V$15:$V$24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'11 50% adapt. X=10mg'!$AD$15:$AD$24</c:f>
              <c:numCache>
                <c:formatCode>0.00</c:formatCode>
                <c:ptCount val="10"/>
                <c:pt idx="0">
                  <c:v>-0.62105792178919494</c:v>
                </c:pt>
                <c:pt idx="1">
                  <c:v>1.3818872090111025</c:v>
                </c:pt>
                <c:pt idx="2">
                  <c:v>2.4599988952960161</c:v>
                </c:pt>
                <c:pt idx="3">
                  <c:v>2.9738798211246835</c:v>
                </c:pt>
                <c:pt idx="4">
                  <c:v>3.2501779929891668</c:v>
                </c:pt>
                <c:pt idx="5">
                  <c:v>3.3950602512156483</c:v>
                </c:pt>
                <c:pt idx="6">
                  <c:v>3.4907339692719832</c:v>
                </c:pt>
                <c:pt idx="7">
                  <c:v>3.5434676299541286</c:v>
                </c:pt>
                <c:pt idx="8">
                  <c:v>3.5444253458697492</c:v>
                </c:pt>
                <c:pt idx="9">
                  <c:v>3.5066846028426939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D3-4839-8C91-7ABF1E76E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58280"/>
        <c:axId val="188614112"/>
      </c:scatterChart>
      <c:valAx>
        <c:axId val="9025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8614112"/>
        <c:crosses val="autoZero"/>
        <c:crossBetween val="midCat"/>
      </c:valAx>
      <c:valAx>
        <c:axId val="18861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ln(Lactate)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258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ln(lactate) for</a:t>
            </a:r>
            <a:r>
              <a:rPr lang="en-US" baseline="0"/>
              <a:t> 5 mg/g inocula</a:t>
            </a:r>
            <a:endParaRPr lang="en-US"/>
          </a:p>
        </c:rich>
      </c:tx>
      <c:layout>
        <c:manualLayout>
          <c:xMode val="edge"/>
          <c:yMode val="edge"/>
          <c:x val="0.23125000000000001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 No pre-adapt. X=5mg'!$V$11:$V$22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</c:numCache>
            </c:numRef>
          </c:xVal>
          <c:yVal>
            <c:numRef>
              <c:f>'5 No pre-adapt. X=5mg'!$AC$11:$AC$22</c:f>
              <c:numCache>
                <c:formatCode>0.00</c:formatCode>
                <c:ptCount val="12"/>
                <c:pt idx="0">
                  <c:v>-1.6703031882053754</c:v>
                </c:pt>
                <c:pt idx="1">
                  <c:v>-1.8279895228649414</c:v>
                </c:pt>
                <c:pt idx="2">
                  <c:v>-1.734158633271206</c:v>
                </c:pt>
                <c:pt idx="3">
                  <c:v>-1.5686275019809404</c:v>
                </c:pt>
                <c:pt idx="4">
                  <c:v>-1.0794509257615252</c:v>
                </c:pt>
                <c:pt idx="5">
                  <c:v>0.28232344059523568</c:v>
                </c:pt>
                <c:pt idx="6">
                  <c:v>2.628440469680926</c:v>
                </c:pt>
                <c:pt idx="7">
                  <c:v>3.0385381101576163</c:v>
                </c:pt>
                <c:pt idx="8">
                  <c:v>3.237423377829161</c:v>
                </c:pt>
                <c:pt idx="9">
                  <c:v>3.4029508154981549</c:v>
                </c:pt>
                <c:pt idx="10">
                  <c:v>3.4272866185186643</c:v>
                </c:pt>
                <c:pt idx="11">
                  <c:v>3.4961708211394558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BD-4F50-9B79-23A0DB455E1C}"/>
            </c:ext>
          </c:extLst>
        </c:ser>
        <c:ser>
          <c:idx val="4"/>
          <c:order val="1"/>
          <c:tx>
            <c:v>30%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 30% adapt. X=5mg'!$V$11:$V$20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'7 30% adapt. X=5mg'!$AC$11:$AC$20</c:f>
              <c:numCache>
                <c:formatCode>0.00</c:formatCode>
                <c:ptCount val="10"/>
                <c:pt idx="0">
                  <c:v>-0.98435546278828445</c:v>
                </c:pt>
                <c:pt idx="1">
                  <c:v>1.1031821907411323</c:v>
                </c:pt>
                <c:pt idx="2">
                  <c:v>2.4481231458260946</c:v>
                </c:pt>
                <c:pt idx="3">
                  <c:v>3.0649688577405896</c:v>
                </c:pt>
                <c:pt idx="4">
                  <c:v>3.3287457010999169</c:v>
                </c:pt>
                <c:pt idx="5">
                  <c:v>3.4604397026585128</c:v>
                </c:pt>
                <c:pt idx="6">
                  <c:v>3.5450817854393892</c:v>
                </c:pt>
                <c:pt idx="7">
                  <c:v>3.5261597044531419</c:v>
                </c:pt>
                <c:pt idx="8">
                  <c:v>3.5185469473840194</c:v>
                </c:pt>
                <c:pt idx="9">
                  <c:v>3.5464235539909352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D-4F50-9B79-23A0DB455E1C}"/>
            </c:ext>
          </c:extLst>
        </c:ser>
        <c:ser>
          <c:idx val="5"/>
          <c:order val="2"/>
          <c:tx>
            <c:v>40%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'9 40% adapt., X=5mg'!$V$11:$V$20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'9 40% adapt., X=5mg'!$AC$11:$AC$20</c:f>
              <c:numCache>
                <c:formatCode>0.00</c:formatCode>
                <c:ptCount val="10"/>
                <c:pt idx="0">
                  <c:v>-1.2240734760329388</c:v>
                </c:pt>
                <c:pt idx="1">
                  <c:v>-0.49038202546503401</c:v>
                </c:pt>
                <c:pt idx="2">
                  <c:v>-0.13483834917742624</c:v>
                </c:pt>
                <c:pt idx="3">
                  <c:v>1.3037797343291753E-2</c:v>
                </c:pt>
                <c:pt idx="4">
                  <c:v>0.65589362408462237</c:v>
                </c:pt>
                <c:pt idx="5">
                  <c:v>2.0100146117174185</c:v>
                </c:pt>
                <c:pt idx="6">
                  <c:v>3.2534675499993804</c:v>
                </c:pt>
                <c:pt idx="7">
                  <c:v>3.5122175687220056</c:v>
                </c:pt>
                <c:pt idx="8">
                  <c:v>3.6289965077507524</c:v>
                </c:pt>
                <c:pt idx="9">
                  <c:v>3.7142397062224615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BD-4F50-9B79-23A0DB455E1C}"/>
            </c:ext>
          </c:extLst>
        </c:ser>
        <c:ser>
          <c:idx val="1"/>
          <c:order val="3"/>
          <c:tx>
            <c:v>0% log phase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forward val="4"/>
            <c:backward val="4"/>
            <c:dispRSqr val="0"/>
            <c:dispEq val="0"/>
          </c:trendline>
          <c:xVal>
            <c:numRef>
              <c:f>'5 No pre-adapt. X=5mg'!$V$15:$V$17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21</c:v>
                </c:pt>
              </c:numCache>
            </c:numRef>
          </c:xVal>
          <c:yVal>
            <c:numRef>
              <c:f>'5 No pre-adapt. X=5mg'!$AC$15:$AC$17</c:f>
              <c:numCache>
                <c:formatCode>0.00</c:formatCode>
                <c:ptCount val="3"/>
                <c:pt idx="0">
                  <c:v>-1.0794509257615252</c:v>
                </c:pt>
                <c:pt idx="1">
                  <c:v>0.28232344059523568</c:v>
                </c:pt>
                <c:pt idx="2">
                  <c:v>2.628440469680926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BD-4F50-9B79-23A0DB455E1C}"/>
            </c:ext>
          </c:extLst>
        </c:ser>
        <c:ser>
          <c:idx val="2"/>
          <c:order val="4"/>
          <c:tx>
            <c:v>40% log phase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ash"/>
              </a:ln>
              <a:effectLst/>
            </c:spPr>
            <c:trendlineType val="linear"/>
            <c:forward val="5"/>
            <c:backward val="5"/>
            <c:dispRSqr val="0"/>
            <c:dispEq val="0"/>
          </c:trendline>
          <c:xVal>
            <c:numRef>
              <c:f>'9 40% adapt., X=5mg'!$V$14:$V$17</c:f>
              <c:numCache>
                <c:formatCode>General</c:formatCode>
                <c:ptCount val="4"/>
                <c:pt idx="0">
                  <c:v>9</c:v>
                </c:pt>
                <c:pt idx="1">
                  <c:v>12</c:v>
                </c:pt>
                <c:pt idx="2">
                  <c:v>15</c:v>
                </c:pt>
                <c:pt idx="3">
                  <c:v>21</c:v>
                </c:pt>
              </c:numCache>
            </c:numRef>
          </c:xVal>
          <c:yVal>
            <c:numRef>
              <c:f>'9 40% adapt., X=5mg'!$AC$14:$AC$17</c:f>
              <c:numCache>
                <c:formatCode>0.00</c:formatCode>
                <c:ptCount val="4"/>
                <c:pt idx="0">
                  <c:v>1.3037797343291753E-2</c:v>
                </c:pt>
                <c:pt idx="1">
                  <c:v>0.65589362408462237</c:v>
                </c:pt>
                <c:pt idx="2">
                  <c:v>2.0100146117174185</c:v>
                </c:pt>
                <c:pt idx="3">
                  <c:v>3.2534675499993804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0BD-4F50-9B79-23A0DB455E1C}"/>
            </c:ext>
          </c:extLst>
        </c:ser>
        <c:ser>
          <c:idx val="3"/>
          <c:order val="5"/>
          <c:tx>
            <c:v>0% initial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'5 No pre-adapt. X=5mg'!$V$11:$V$16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</c:numCache>
            </c:numRef>
          </c:xVal>
          <c:yVal>
            <c:numRef>
              <c:f>'5 No pre-adapt. X=5mg'!$AD$11:$AD$16</c:f>
              <c:numCache>
                <c:formatCode>0.00</c:formatCode>
                <c:ptCount val="6"/>
                <c:pt idx="0">
                  <c:v>-1.6703031882053754</c:v>
                </c:pt>
                <c:pt idx="1">
                  <c:v>-1.6703031882053754</c:v>
                </c:pt>
                <c:pt idx="2">
                  <c:v>-1.6703031882053754</c:v>
                </c:pt>
                <c:pt idx="3">
                  <c:v>-1.6703031882053754</c:v>
                </c:pt>
                <c:pt idx="4">
                  <c:v>-1.6703031882053754</c:v>
                </c:pt>
                <c:pt idx="5">
                  <c:v>-1.6703031882053754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D-4F50-9B79-23A0DB455E1C}"/>
            </c:ext>
          </c:extLst>
        </c:ser>
        <c:ser>
          <c:idx val="6"/>
          <c:order val="6"/>
          <c:tx>
            <c:v>40% initial</c:v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'9 40% adapt., X=5mg'!$V$11:$V$14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</c:numCache>
            </c:numRef>
          </c:xVal>
          <c:yVal>
            <c:numRef>
              <c:f>'9 40% adapt., X=5mg'!$AD$11:$AD$14</c:f>
              <c:numCache>
                <c:formatCode>0.00</c:formatCode>
                <c:ptCount val="4"/>
                <c:pt idx="0">
                  <c:v>-1.2240734760329388</c:v>
                </c:pt>
                <c:pt idx="1">
                  <c:v>-1.2240734760329388</c:v>
                </c:pt>
                <c:pt idx="2">
                  <c:v>-1.2240734760329388</c:v>
                </c:pt>
                <c:pt idx="3">
                  <c:v>-1.2240734760329388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0BD-4F50-9B79-23A0DB455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22960"/>
        <c:axId val="88336056"/>
      </c:scatterChart>
      <c:valAx>
        <c:axId val="9202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336056"/>
        <c:crosses val="autoZero"/>
        <c:crossBetween val="midCat"/>
      </c:valAx>
      <c:valAx>
        <c:axId val="8833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ln(Lactate)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022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7</xdr:col>
      <xdr:colOff>314325</xdr:colOff>
      <xdr:row>15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596265</xdr:colOff>
      <xdr:row>0</xdr:row>
      <xdr:rowOff>38100</xdr:rowOff>
    </xdr:from>
    <xdr:to>
      <xdr:col>18</xdr:col>
      <xdr:colOff>291465</xdr:colOff>
      <xdr:row>15</xdr:row>
      <xdr:rowOff>38100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5"/>
  <sheetViews>
    <sheetView tabSelected="1" workbookViewId="0"/>
  </sheetViews>
  <sheetFormatPr baseColWidth="10" defaultColWidth="8.83203125" defaultRowHeight="15" x14ac:dyDescent="0.2"/>
  <cols>
    <col min="1" max="2" width="8.83203125" style="11"/>
    <col min="3" max="3" width="27.6640625" style="11" bestFit="1" customWidth="1"/>
    <col min="4" max="16384" width="8.83203125" style="11"/>
  </cols>
  <sheetData>
    <row r="1" spans="1:5" x14ac:dyDescent="0.2">
      <c r="A1" s="10" t="s">
        <v>373</v>
      </c>
    </row>
    <row r="3" spans="1:5" x14ac:dyDescent="0.2">
      <c r="A3" s="10"/>
    </row>
    <row r="5" spans="1:5" x14ac:dyDescent="0.2">
      <c r="A5" s="10" t="s">
        <v>290</v>
      </c>
      <c r="B5" s="10"/>
      <c r="C5" s="10" t="s">
        <v>218</v>
      </c>
      <c r="D5" s="10" t="s">
        <v>219</v>
      </c>
    </row>
    <row r="7" spans="1:5" x14ac:dyDescent="0.2">
      <c r="A7" s="184"/>
      <c r="C7" s="11" t="s">
        <v>345</v>
      </c>
      <c r="D7" s="11" t="s">
        <v>238</v>
      </c>
    </row>
    <row r="8" spans="1:5" x14ac:dyDescent="0.2">
      <c r="E8" s="11" t="s">
        <v>239</v>
      </c>
    </row>
    <row r="9" spans="1:5" x14ac:dyDescent="0.2">
      <c r="E9" s="11" t="s">
        <v>282</v>
      </c>
    </row>
    <row r="10" spans="1:5" x14ac:dyDescent="0.2">
      <c r="E10" s="11" t="s">
        <v>240</v>
      </c>
    </row>
    <row r="11" spans="1:5" ht="17" x14ac:dyDescent="0.25">
      <c r="A11" s="185"/>
      <c r="C11" s="11" t="s">
        <v>225</v>
      </c>
      <c r="D11" s="11" t="s">
        <v>224</v>
      </c>
    </row>
    <row r="12" spans="1:5" x14ac:dyDescent="0.2">
      <c r="E12" s="11" t="s">
        <v>239</v>
      </c>
    </row>
    <row r="13" spans="1:5" x14ac:dyDescent="0.2">
      <c r="E13" s="11" t="s">
        <v>241</v>
      </c>
    </row>
    <row r="14" spans="1:5" x14ac:dyDescent="0.2">
      <c r="E14" s="11" t="s">
        <v>242</v>
      </c>
    </row>
    <row r="15" spans="1:5" x14ac:dyDescent="0.2">
      <c r="A15" s="186"/>
      <c r="C15" s="11" t="s">
        <v>251</v>
      </c>
      <c r="D15" s="11" t="s">
        <v>280</v>
      </c>
    </row>
    <row r="16" spans="1:5" x14ac:dyDescent="0.2">
      <c r="E16" s="11" t="s">
        <v>281</v>
      </c>
    </row>
    <row r="17" spans="1:5" x14ac:dyDescent="0.2">
      <c r="A17" s="187"/>
      <c r="C17" s="11" t="s">
        <v>288</v>
      </c>
      <c r="D17" s="11" t="s">
        <v>289</v>
      </c>
    </row>
    <row r="18" spans="1:5" x14ac:dyDescent="0.2">
      <c r="E18" s="11" t="s">
        <v>370</v>
      </c>
    </row>
    <row r="19" spans="1:5" x14ac:dyDescent="0.2">
      <c r="A19" s="26"/>
      <c r="C19" s="11" t="s">
        <v>324</v>
      </c>
      <c r="D19" s="11" t="s">
        <v>334</v>
      </c>
    </row>
    <row r="21" spans="1:5" x14ac:dyDescent="0.2">
      <c r="A21" s="188"/>
      <c r="C21" s="11" t="s">
        <v>332</v>
      </c>
      <c r="D21" s="11" t="s">
        <v>333</v>
      </c>
    </row>
    <row r="23" spans="1:5" x14ac:dyDescent="0.2">
      <c r="A23" s="191"/>
      <c r="C23" s="11" t="s">
        <v>335</v>
      </c>
      <c r="D23" s="11" t="s">
        <v>336</v>
      </c>
    </row>
    <row r="25" spans="1:5" x14ac:dyDescent="0.2">
      <c r="A25" s="189"/>
      <c r="C25" s="11" t="s">
        <v>340</v>
      </c>
      <c r="D25" s="11" t="s">
        <v>341</v>
      </c>
    </row>
    <row r="27" spans="1:5" x14ac:dyDescent="0.2">
      <c r="A27" s="215"/>
      <c r="C27" s="11" t="s">
        <v>343</v>
      </c>
      <c r="D27" s="11" t="s">
        <v>344</v>
      </c>
    </row>
    <row r="29" spans="1:5" x14ac:dyDescent="0.2">
      <c r="A29" s="219"/>
      <c r="C29" s="11" t="s">
        <v>351</v>
      </c>
      <c r="D29" s="11" t="s">
        <v>352</v>
      </c>
    </row>
    <row r="31" spans="1:5" x14ac:dyDescent="0.2">
      <c r="A31" s="220"/>
      <c r="C31" s="11" t="s">
        <v>353</v>
      </c>
      <c r="D31" s="11" t="s">
        <v>354</v>
      </c>
    </row>
    <row r="33" spans="1:4" x14ac:dyDescent="0.2">
      <c r="A33" s="111"/>
      <c r="C33" s="11" t="s">
        <v>368</v>
      </c>
      <c r="D33" s="11" t="s">
        <v>369</v>
      </c>
    </row>
    <row r="35" spans="1:4" x14ac:dyDescent="0.2">
      <c r="A35" s="300"/>
      <c r="C35" s="11" t="s">
        <v>398</v>
      </c>
      <c r="D35" s="11" t="s">
        <v>399</v>
      </c>
    </row>
  </sheetData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AD38"/>
  <sheetViews>
    <sheetView topLeftCell="A8" zoomScaleNormal="100" workbookViewId="0">
      <selection activeCell="AF16" sqref="AF16"/>
    </sheetView>
  </sheetViews>
  <sheetFormatPr baseColWidth="10" defaultColWidth="8.83203125" defaultRowHeight="15" x14ac:dyDescent="0.2"/>
  <cols>
    <col min="1" max="1" width="12" style="11" customWidth="1"/>
    <col min="2" max="3" width="8.83203125" style="11"/>
    <col min="4" max="4" width="9.83203125" style="11" customWidth="1"/>
    <col min="5" max="5" width="13.6640625" style="11" bestFit="1" customWidth="1"/>
    <col min="6" max="6" width="8.83203125" style="11"/>
    <col min="7" max="7" width="24.5" style="11" bestFit="1" customWidth="1"/>
    <col min="8" max="8" width="12.5" style="11" customWidth="1"/>
    <col min="9" max="9" width="11.1640625" style="11" bestFit="1" customWidth="1"/>
    <col min="10" max="10" width="32.1640625" style="11" bestFit="1" customWidth="1"/>
    <col min="11" max="12" width="8.83203125" style="11"/>
    <col min="13" max="13" width="37.6640625" style="11" bestFit="1" customWidth="1"/>
    <col min="14" max="15" width="8.83203125" style="11"/>
    <col min="16" max="16" width="24" style="11" bestFit="1" customWidth="1"/>
    <col min="17" max="18" width="8.83203125" style="11"/>
    <col min="19" max="19" width="31.33203125" style="11" bestFit="1" customWidth="1"/>
    <col min="20" max="21" width="8.83203125" style="11"/>
    <col min="22" max="22" width="13.33203125" style="11" bestFit="1" customWidth="1"/>
    <col min="23" max="23" width="11.33203125" style="11" bestFit="1" customWidth="1"/>
    <col min="24" max="24" width="13.33203125" style="11" bestFit="1" customWidth="1"/>
    <col min="25" max="25" width="9" style="11" bestFit="1" customWidth="1"/>
    <col min="26" max="26" width="13.33203125" style="11" bestFit="1" customWidth="1"/>
    <col min="27" max="27" width="22.5" style="11" bestFit="1" customWidth="1"/>
    <col min="28" max="28" width="19.33203125" style="11" bestFit="1" customWidth="1"/>
    <col min="29" max="29" width="12.6640625" style="11" bestFit="1" customWidth="1"/>
    <col min="30" max="30" width="13.33203125" style="11" bestFit="1" customWidth="1"/>
    <col min="31" max="16384" width="8.83203125" style="11"/>
  </cols>
  <sheetData>
    <row r="1" spans="1:30" x14ac:dyDescent="0.2">
      <c r="A1" s="191" t="s">
        <v>342</v>
      </c>
      <c r="B1" s="191"/>
      <c r="C1" s="191"/>
    </row>
    <row r="3" spans="1:30" x14ac:dyDescent="0.2">
      <c r="A3" s="10" t="s">
        <v>394</v>
      </c>
      <c r="D3" s="5" t="s">
        <v>212</v>
      </c>
      <c r="E3" s="5"/>
    </row>
    <row r="6" spans="1:30" ht="16" thickBot="1" x14ac:dyDescent="0.25">
      <c r="A6" s="10" t="s">
        <v>84</v>
      </c>
      <c r="J6" s="10" t="s">
        <v>88</v>
      </c>
    </row>
    <row r="7" spans="1:30" x14ac:dyDescent="0.2">
      <c r="A7" s="43" t="s">
        <v>293</v>
      </c>
      <c r="B7" s="43" t="s">
        <v>80</v>
      </c>
      <c r="C7" s="33" t="s">
        <v>81</v>
      </c>
      <c r="D7" s="34" t="s">
        <v>295</v>
      </c>
      <c r="E7" s="192" t="s">
        <v>381</v>
      </c>
      <c r="P7" s="198" t="s">
        <v>311</v>
      </c>
      <c r="S7" s="198" t="s">
        <v>82</v>
      </c>
      <c r="V7" s="198" t="s">
        <v>90</v>
      </c>
      <c r="W7" s="5"/>
      <c r="X7" s="5"/>
      <c r="Y7" s="5"/>
      <c r="Z7" s="5"/>
      <c r="AA7" s="5"/>
      <c r="AB7" s="5"/>
    </row>
    <row r="8" spans="1:30" ht="16" thickBot="1" x14ac:dyDescent="0.25">
      <c r="A8" s="61" t="s">
        <v>79</v>
      </c>
      <c r="B8" s="61" t="s">
        <v>76</v>
      </c>
      <c r="C8" s="53" t="s">
        <v>76</v>
      </c>
      <c r="D8" s="55" t="s">
        <v>294</v>
      </c>
      <c r="E8" s="203" t="s">
        <v>382</v>
      </c>
      <c r="G8" s="108" t="s">
        <v>87</v>
      </c>
      <c r="H8" s="50"/>
      <c r="J8" s="198" t="s">
        <v>310</v>
      </c>
      <c r="V8" s="36"/>
      <c r="W8" s="5"/>
      <c r="X8" s="36"/>
      <c r="Y8" s="36"/>
      <c r="Z8" s="5"/>
      <c r="AA8" s="36"/>
      <c r="AB8" s="36"/>
    </row>
    <row r="9" spans="1:30" ht="18" x14ac:dyDescent="0.25">
      <c r="A9" s="62">
        <v>0</v>
      </c>
      <c r="B9" s="249">
        <v>9.8805999999999994</v>
      </c>
      <c r="C9" s="168">
        <v>0.21779999999999999</v>
      </c>
      <c r="D9" s="56">
        <v>5600000</v>
      </c>
      <c r="E9" s="239">
        <f>H11+K12</f>
        <v>1.35</v>
      </c>
      <c r="F9" s="54"/>
      <c r="G9" s="200" t="s">
        <v>86</v>
      </c>
      <c r="H9" s="229">
        <v>0.42259999999999998</v>
      </c>
      <c r="J9" s="196" t="s">
        <v>298</v>
      </c>
      <c r="K9" s="110"/>
      <c r="L9" s="110"/>
      <c r="M9" s="196" t="s">
        <v>306</v>
      </c>
      <c r="N9" s="199"/>
      <c r="P9" s="196" t="s">
        <v>89</v>
      </c>
      <c r="Q9" s="196"/>
      <c r="R9" s="36"/>
      <c r="S9" s="196" t="s">
        <v>348</v>
      </c>
      <c r="T9" s="226">
        <f>Q14/N20</f>
        <v>1.1516069741059967</v>
      </c>
      <c r="U9" s="5"/>
      <c r="V9" s="192" t="s">
        <v>315</v>
      </c>
      <c r="W9" s="33" t="s">
        <v>321</v>
      </c>
      <c r="X9" s="33" t="s">
        <v>80</v>
      </c>
      <c r="Y9" s="33" t="s">
        <v>317</v>
      </c>
      <c r="Z9" s="34" t="s">
        <v>81</v>
      </c>
      <c r="AA9" s="205" t="s">
        <v>217</v>
      </c>
      <c r="AB9" s="206" t="s">
        <v>83</v>
      </c>
      <c r="AC9" s="33" t="s">
        <v>392</v>
      </c>
      <c r="AD9" s="34" t="s">
        <v>393</v>
      </c>
    </row>
    <row r="10" spans="1:30" ht="18" thickBot="1" x14ac:dyDescent="0.3">
      <c r="A10" s="32">
        <v>3</v>
      </c>
      <c r="B10" s="245">
        <v>16.819400000000002</v>
      </c>
      <c r="C10" s="169">
        <v>0.46100000000000002</v>
      </c>
      <c r="D10" s="48">
        <f>AVERAGE(1)/10^(-4)/0.1</f>
        <v>100000</v>
      </c>
      <c r="E10" s="240">
        <f>E9-$H$16</f>
        <v>1.3284</v>
      </c>
      <c r="F10" s="54"/>
      <c r="G10" s="200" t="s">
        <v>304</v>
      </c>
      <c r="H10" s="229">
        <v>354.94557501183152</v>
      </c>
      <c r="I10" s="5"/>
      <c r="J10" s="199"/>
      <c r="K10" s="110"/>
      <c r="L10" s="199"/>
      <c r="M10" s="199"/>
      <c r="N10" s="199"/>
      <c r="P10" s="110"/>
      <c r="Q10" s="110"/>
      <c r="R10" s="36"/>
      <c r="S10" s="196" t="s">
        <v>374</v>
      </c>
      <c r="T10" s="226">
        <f>Q14/N18</f>
        <v>1.1724637996799749</v>
      </c>
      <c r="U10" s="36"/>
      <c r="V10" s="203" t="s">
        <v>79</v>
      </c>
      <c r="W10" s="53" t="s">
        <v>316</v>
      </c>
      <c r="X10" s="53" t="s">
        <v>78</v>
      </c>
      <c r="Y10" s="53" t="s">
        <v>318</v>
      </c>
      <c r="Z10" s="55" t="s">
        <v>319</v>
      </c>
      <c r="AA10" s="207" t="s">
        <v>323</v>
      </c>
      <c r="AB10" s="208" t="s">
        <v>322</v>
      </c>
      <c r="AC10" s="53"/>
      <c r="AD10" s="55"/>
    </row>
    <row r="11" spans="1:30" ht="18" x14ac:dyDescent="0.25">
      <c r="A11" s="32">
        <v>6</v>
      </c>
      <c r="B11" s="245">
        <v>21.052</v>
      </c>
      <c r="C11" s="169">
        <v>0.66869999999999996</v>
      </c>
      <c r="D11" s="48">
        <v>100000</v>
      </c>
      <c r="E11" s="240">
        <f t="shared" ref="E11:E22" si="0">E10-$H$16</f>
        <v>1.3068</v>
      </c>
      <c r="F11" s="54"/>
      <c r="G11" s="109" t="s">
        <v>305</v>
      </c>
      <c r="H11" s="229">
        <f>(1500-H10)/1000</f>
        <v>1.1450544249881685</v>
      </c>
      <c r="I11" s="5"/>
      <c r="J11" s="109" t="s">
        <v>302</v>
      </c>
      <c r="K11" s="199">
        <v>6.8</v>
      </c>
      <c r="L11" s="110"/>
      <c r="M11" s="200" t="s">
        <v>307</v>
      </c>
      <c r="N11" s="230">
        <f>B22*(E22)</f>
        <v>0.28569023999999982</v>
      </c>
      <c r="P11" s="109" t="s">
        <v>312</v>
      </c>
      <c r="Q11" s="229">
        <f>C9*(E9)</f>
        <v>0.29403000000000001</v>
      </c>
      <c r="R11" s="5"/>
      <c r="S11" s="196" t="s">
        <v>375</v>
      </c>
      <c r="T11" s="226">
        <f>Q14/(H9*H10)</f>
        <v>0.26278158959999981</v>
      </c>
      <c r="U11" s="5"/>
      <c r="V11" s="30">
        <f t="shared" ref="V11:V20" si="1">A9</f>
        <v>0</v>
      </c>
      <c r="W11" s="249">
        <v>1.35</v>
      </c>
      <c r="X11" s="168">
        <f t="shared" ref="X11:X20" si="2">B9*W11</f>
        <v>13.33881</v>
      </c>
      <c r="Y11" s="210">
        <f>D9*X22</f>
        <v>8400000000</v>
      </c>
      <c r="Z11" s="239">
        <f t="shared" ref="Z11:Z20" si="3">C9*W11</f>
        <v>0.29403000000000001</v>
      </c>
      <c r="AA11" s="62"/>
      <c r="AB11" s="45"/>
      <c r="AC11" s="249">
        <f>LN(Z11)</f>
        <v>-1.2240734760329388</v>
      </c>
      <c r="AD11" s="239">
        <v>-1.2240734760329388</v>
      </c>
    </row>
    <row r="12" spans="1:30" ht="18" x14ac:dyDescent="0.25">
      <c r="A12" s="32">
        <v>9</v>
      </c>
      <c r="B12" s="245">
        <v>24.930800000000001</v>
      </c>
      <c r="C12" s="169">
        <v>0.7883</v>
      </c>
      <c r="D12" s="48">
        <v>0</v>
      </c>
      <c r="E12" s="240">
        <f t="shared" si="0"/>
        <v>1.2851999999999999</v>
      </c>
      <c r="F12" s="54"/>
      <c r="G12" s="108" t="s">
        <v>94</v>
      </c>
      <c r="H12" s="50">
        <f>H10+H11*1000</f>
        <v>1500</v>
      </c>
      <c r="I12" s="36"/>
      <c r="J12" s="109" t="s">
        <v>301</v>
      </c>
      <c r="K12" s="229">
        <f>(1-H9)*H10/1000</f>
        <v>0.20494557501183153</v>
      </c>
      <c r="L12" s="110"/>
      <c r="M12" s="110"/>
      <c r="N12" s="199"/>
      <c r="P12" s="109" t="s">
        <v>313</v>
      </c>
      <c r="Q12" s="229">
        <f>C22*(E22)</f>
        <v>34.89836723999997</v>
      </c>
      <c r="R12" s="36"/>
      <c r="S12" s="197"/>
      <c r="T12" s="5"/>
      <c r="U12" s="36"/>
      <c r="V12" s="46">
        <f t="shared" si="1"/>
        <v>3</v>
      </c>
      <c r="W12" s="245">
        <v>1.3284</v>
      </c>
      <c r="X12" s="169">
        <f t="shared" si="2"/>
        <v>22.342890960000002</v>
      </c>
      <c r="Y12" s="54">
        <f>D10*(X22-COUNT($V$11:$V11)*0.024*1000)</f>
        <v>147600000</v>
      </c>
      <c r="Z12" s="240">
        <f t="shared" si="3"/>
        <v>0.61239240000000006</v>
      </c>
      <c r="AA12" s="243">
        <f>((A10-A9)/(A11-A9)*(C11-C10)/(A11-A10))+((C10-C9)/(A10-A9)*(A11-A10)/(A11-A9))</f>
        <v>7.5149999999999995E-2</v>
      </c>
      <c r="AB12" s="244">
        <f>(AA12*0.9/1000)/D10</f>
        <v>6.7634999999999994E-10</v>
      </c>
      <c r="AC12" s="245">
        <f t="shared" ref="AC12:AC20" si="4">LN(Z12)</f>
        <v>-0.49038202546503401</v>
      </c>
      <c r="AD12" s="240">
        <v>-1.2240734760329388</v>
      </c>
    </row>
    <row r="13" spans="1:30" x14ac:dyDescent="0.2">
      <c r="A13" s="32">
        <v>12</v>
      </c>
      <c r="B13" s="245">
        <v>26.717500000000001</v>
      </c>
      <c r="C13" s="169">
        <v>1.5248999999999999</v>
      </c>
      <c r="D13" s="48">
        <f>AVERAGE(69,62)/10^(-4)/0.1</f>
        <v>6550000</v>
      </c>
      <c r="E13" s="240">
        <f t="shared" si="0"/>
        <v>1.2635999999999998</v>
      </c>
      <c r="F13" s="54"/>
      <c r="I13" s="5"/>
      <c r="J13" s="199"/>
      <c r="K13" s="199"/>
      <c r="L13" s="110"/>
      <c r="M13" s="110"/>
      <c r="N13" s="200"/>
      <c r="P13" s="110"/>
      <c r="Q13" s="110"/>
      <c r="R13" s="36"/>
      <c r="S13" s="36"/>
      <c r="T13" s="5"/>
      <c r="U13" s="5"/>
      <c r="V13" s="46">
        <f t="shared" si="1"/>
        <v>6</v>
      </c>
      <c r="W13" s="245">
        <v>1.3068</v>
      </c>
      <c r="X13" s="169">
        <f t="shared" si="2"/>
        <v>27.510753599999997</v>
      </c>
      <c r="Y13" s="54">
        <f>D11*(X22-COUNT($V$11:$V12)*0.024*1000)</f>
        <v>145200000</v>
      </c>
      <c r="Z13" s="240">
        <f t="shared" si="3"/>
        <v>0.87385715999999991</v>
      </c>
      <c r="AA13" s="243">
        <f t="shared" ref="AA13:AA18" si="5">((A11-A10)/(A12-A10)*(C12-C11)/(A12-A11))+((C11-C10)/(A11-A10)*(A12-A11)/(A12-A10))</f>
        <v>5.4550000000000001E-2</v>
      </c>
      <c r="AB13" s="244">
        <f t="shared" ref="AB13:AB19" si="6">(AA13*0.9/1000)/D11</f>
        <v>4.9094999999999994E-10</v>
      </c>
      <c r="AC13" s="245">
        <f t="shared" si="4"/>
        <v>-0.13483834917742624</v>
      </c>
      <c r="AD13" s="240">
        <v>-1.2240734760329388</v>
      </c>
    </row>
    <row r="14" spans="1:30" ht="18" x14ac:dyDescent="0.25">
      <c r="A14" s="32">
        <v>15</v>
      </c>
      <c r="B14" s="245">
        <v>23.3597</v>
      </c>
      <c r="C14" s="169">
        <v>6.0091999999999999</v>
      </c>
      <c r="D14" s="48">
        <f>AVERAGE(93,68)/10^(-5)/0.1</f>
        <v>80499999.999999985</v>
      </c>
      <c r="E14" s="240">
        <f t="shared" si="0"/>
        <v>1.2419999999999998</v>
      </c>
      <c r="F14" s="54"/>
      <c r="G14" s="108" t="s">
        <v>309</v>
      </c>
      <c r="H14" s="50"/>
      <c r="I14" s="5"/>
      <c r="J14" s="109" t="s">
        <v>303</v>
      </c>
      <c r="K14" s="229">
        <f>(10*243.364/1000+K11*K12)/(E9)</f>
        <v>2.8350147482077439</v>
      </c>
      <c r="L14" s="110"/>
      <c r="M14" s="196" t="s">
        <v>327</v>
      </c>
      <c r="N14" s="200"/>
      <c r="P14" s="196" t="s">
        <v>314</v>
      </c>
      <c r="Q14" s="233">
        <f>Q12-Q11+H18</f>
        <v>39.41723843999997</v>
      </c>
      <c r="R14" s="5"/>
      <c r="S14" s="5"/>
      <c r="T14" s="5"/>
      <c r="U14" s="5"/>
      <c r="V14" s="46">
        <f t="shared" si="1"/>
        <v>9</v>
      </c>
      <c r="W14" s="245">
        <v>1.2851999999999999</v>
      </c>
      <c r="X14" s="169">
        <f t="shared" si="2"/>
        <v>32.041064159999998</v>
      </c>
      <c r="Y14" s="54">
        <f>D12*(X22-COUNT($V$11:$V13)*0.024*1000)</f>
        <v>0</v>
      </c>
      <c r="Z14" s="240">
        <f t="shared" si="3"/>
        <v>1.0131231599999999</v>
      </c>
      <c r="AA14" s="243">
        <f t="shared" si="5"/>
        <v>0.14269999999999999</v>
      </c>
      <c r="AB14" s="244" t="s">
        <v>397</v>
      </c>
      <c r="AC14" s="245">
        <f t="shared" si="4"/>
        <v>1.3037797343291753E-2</v>
      </c>
      <c r="AD14" s="240">
        <v>-1.2240734760329388</v>
      </c>
    </row>
    <row r="15" spans="1:30" ht="17" x14ac:dyDescent="0.25">
      <c r="A15" s="32">
        <v>21</v>
      </c>
      <c r="B15" s="245">
        <v>7.7576999999999998</v>
      </c>
      <c r="C15" s="169">
        <v>21.206099999999999</v>
      </c>
      <c r="D15" s="48">
        <v>17100000</v>
      </c>
      <c r="E15" s="240">
        <f t="shared" si="0"/>
        <v>1.2203999999999997</v>
      </c>
      <c r="F15" s="54"/>
      <c r="G15" s="199" t="s">
        <v>95</v>
      </c>
      <c r="H15" s="199">
        <f>COUNT(B9:B18)</f>
        <v>10</v>
      </c>
      <c r="I15" s="5"/>
      <c r="J15" s="109" t="s">
        <v>300</v>
      </c>
      <c r="K15" s="230">
        <f>10*243.364/1000+K11*K12</f>
        <v>3.8272699100804544</v>
      </c>
      <c r="L15" s="110"/>
      <c r="M15" s="110"/>
      <c r="N15" s="199"/>
      <c r="R15" s="5"/>
      <c r="S15" s="5"/>
      <c r="T15" s="5"/>
      <c r="U15" s="5"/>
      <c r="V15" s="46">
        <f t="shared" si="1"/>
        <v>12</v>
      </c>
      <c r="W15" s="245">
        <v>1.2635999999999998</v>
      </c>
      <c r="X15" s="169">
        <f t="shared" si="2"/>
        <v>33.760232999999999</v>
      </c>
      <c r="Y15" s="54">
        <f>D13*(X22-COUNT($V$11:$V14)*0.024*1000)</f>
        <v>9196200000</v>
      </c>
      <c r="Z15" s="240">
        <f t="shared" si="3"/>
        <v>1.9268636399999997</v>
      </c>
      <c r="AA15" s="243">
        <f t="shared" si="5"/>
        <v>0.87015000000000009</v>
      </c>
      <c r="AB15" s="244">
        <f t="shared" si="6"/>
        <v>1.1956259541984734E-10</v>
      </c>
      <c r="AC15" s="245">
        <f t="shared" si="4"/>
        <v>0.65589362408462237</v>
      </c>
      <c r="AD15" s="240">
        <v>-1.2240734760329388</v>
      </c>
    </row>
    <row r="16" spans="1:30" x14ac:dyDescent="0.2">
      <c r="A16" s="32">
        <v>24</v>
      </c>
      <c r="B16" s="245">
        <v>4.0823</v>
      </c>
      <c r="C16" s="169">
        <v>27.9634</v>
      </c>
      <c r="D16" s="48">
        <v>274000000</v>
      </c>
      <c r="E16" s="240">
        <f t="shared" si="0"/>
        <v>1.1987999999999996</v>
      </c>
      <c r="F16" s="54"/>
      <c r="G16" s="199" t="s">
        <v>96</v>
      </c>
      <c r="H16" s="199">
        <f>0.9*0.024</f>
        <v>2.1600000000000001E-2</v>
      </c>
      <c r="J16" s="110"/>
      <c r="K16" s="201"/>
      <c r="L16" s="110"/>
      <c r="M16" s="200" t="s">
        <v>328</v>
      </c>
      <c r="N16" s="229">
        <f>AVERAGE('4 Amount of released glucose'!D10:D18)*'9 40% adapt., X=5mg'!H9*'9 40% adapt., X=5mg'!H10</f>
        <v>87.296317767830757</v>
      </c>
      <c r="R16" s="5"/>
      <c r="S16" s="5"/>
      <c r="T16" s="5"/>
      <c r="U16" s="5"/>
      <c r="V16" s="46">
        <f t="shared" si="1"/>
        <v>15</v>
      </c>
      <c r="W16" s="245">
        <v>1.2419999999999998</v>
      </c>
      <c r="X16" s="169">
        <f t="shared" si="2"/>
        <v>29.012747399999995</v>
      </c>
      <c r="Y16" s="54">
        <f>D14*(X22-COUNT($V$11:$V15)*0.024*1000)</f>
        <v>111089999999.99998</v>
      </c>
      <c r="Z16" s="240">
        <f t="shared" si="3"/>
        <v>7.4634263999999986</v>
      </c>
      <c r="AA16" s="243">
        <f t="shared" si="5"/>
        <v>1.8407833333333332</v>
      </c>
      <c r="AB16" s="244">
        <f t="shared" si="6"/>
        <v>2.058018633540373E-11</v>
      </c>
      <c r="AC16" s="245">
        <f t="shared" si="4"/>
        <v>2.0100146117174185</v>
      </c>
      <c r="AD16" s="240"/>
    </row>
    <row r="17" spans="1:30" ht="17" x14ac:dyDescent="0.25">
      <c r="A17" s="32">
        <v>27</v>
      </c>
      <c r="B17" s="245">
        <v>0.5857</v>
      </c>
      <c r="C17" s="169">
        <v>32.003900000000002</v>
      </c>
      <c r="D17" s="48">
        <v>98000000</v>
      </c>
      <c r="E17" s="240">
        <f t="shared" si="0"/>
        <v>1.1771999999999996</v>
      </c>
      <c r="F17" s="54"/>
      <c r="G17" s="200" t="s">
        <v>97</v>
      </c>
      <c r="H17" s="230">
        <f>H16*(SUM(B9:B21))</f>
        <v>2.9327011200000004</v>
      </c>
      <c r="J17" s="110"/>
      <c r="K17" s="110"/>
      <c r="L17" s="110"/>
      <c r="M17" s="200" t="s">
        <v>329</v>
      </c>
      <c r="N17" s="229">
        <f>AVERAGE('4 Amount of released glucose'!D73:D81)*'9 40% adapt., X=5mg'!H9*'9 40% adapt., X=5mg'!H10</f>
        <v>53.67716598612207</v>
      </c>
      <c r="R17" s="5"/>
      <c r="S17" s="5"/>
      <c r="T17" s="5"/>
      <c r="U17" s="5"/>
      <c r="V17" s="46">
        <f t="shared" si="1"/>
        <v>21</v>
      </c>
      <c r="W17" s="245">
        <v>1.2203999999999997</v>
      </c>
      <c r="X17" s="169">
        <f t="shared" si="2"/>
        <v>9.4674970799999976</v>
      </c>
      <c r="Y17" s="54">
        <f>D15*(X22-COUNT($V$11:$V16)*0.024*1000)</f>
        <v>23187600000</v>
      </c>
      <c r="Z17" s="240">
        <f t="shared" si="3"/>
        <v>25.879924439999993</v>
      </c>
      <c r="AA17" s="243">
        <f t="shared" si="5"/>
        <v>2.3458944444444443</v>
      </c>
      <c r="AB17" s="244">
        <f t="shared" si="6"/>
        <v>1.2346812865497075E-10</v>
      </c>
      <c r="AC17" s="245">
        <f t="shared" si="4"/>
        <v>3.2534675499993804</v>
      </c>
      <c r="AD17" s="240"/>
    </row>
    <row r="18" spans="1:30" ht="17" x14ac:dyDescent="0.2">
      <c r="A18" s="264">
        <v>30</v>
      </c>
      <c r="B18" s="252">
        <v>0.1086</v>
      </c>
      <c r="C18" s="253">
        <v>35.503100000000003</v>
      </c>
      <c r="D18" s="258">
        <v>17800000</v>
      </c>
      <c r="E18" s="255">
        <f t="shared" si="0"/>
        <v>1.1555999999999995</v>
      </c>
      <c r="F18" s="54"/>
      <c r="G18" s="200" t="s">
        <v>98</v>
      </c>
      <c r="H18" s="230">
        <f>H16*(SUM(C9:C21))</f>
        <v>4.8129012000000007</v>
      </c>
      <c r="J18" s="110"/>
      <c r="K18" s="110"/>
      <c r="L18" s="110"/>
      <c r="M18" s="200" t="s">
        <v>330</v>
      </c>
      <c r="N18" s="230">
        <f>N16-N17</f>
        <v>33.619151781708688</v>
      </c>
      <c r="R18" s="36"/>
      <c r="S18" s="5"/>
      <c r="T18" s="197"/>
      <c r="U18" s="5"/>
      <c r="V18" s="46">
        <f t="shared" si="1"/>
        <v>24</v>
      </c>
      <c r="W18" s="245">
        <v>1.1987999999999996</v>
      </c>
      <c r="X18" s="169">
        <f t="shared" si="2"/>
        <v>4.8938612399999988</v>
      </c>
      <c r="Y18" s="54">
        <f>D16*(X22-COUNT($V$11:$V17)*0.024*1000)</f>
        <v>364968000000</v>
      </c>
      <c r="Z18" s="240">
        <f t="shared" si="3"/>
        <v>33.52252391999999</v>
      </c>
      <c r="AA18" s="243">
        <f t="shared" si="5"/>
        <v>1.7996333333333339</v>
      </c>
      <c r="AB18" s="244">
        <f t="shared" si="6"/>
        <v>5.9112043795620459E-12</v>
      </c>
      <c r="AC18" s="245">
        <f t="shared" si="4"/>
        <v>3.5122175687220056</v>
      </c>
      <c r="AD18" s="240"/>
    </row>
    <row r="19" spans="1:30" x14ac:dyDescent="0.2">
      <c r="A19" s="32">
        <v>33</v>
      </c>
      <c r="B19" s="245">
        <v>7.4700000000000003E-2</v>
      </c>
      <c r="C19" s="169">
        <v>33.219200000000001</v>
      </c>
      <c r="D19" s="6"/>
      <c r="E19" s="240">
        <f t="shared" si="0"/>
        <v>1.1339999999999995</v>
      </c>
      <c r="J19" s="110"/>
      <c r="K19" s="110"/>
      <c r="L19" s="110"/>
      <c r="M19" s="110"/>
      <c r="N19" s="229"/>
      <c r="R19" s="5"/>
      <c r="S19" s="5"/>
      <c r="T19" s="5"/>
      <c r="U19" s="5"/>
      <c r="V19" s="46">
        <f t="shared" si="1"/>
        <v>27</v>
      </c>
      <c r="W19" s="245">
        <v>1.1771999999999996</v>
      </c>
      <c r="X19" s="169">
        <f t="shared" si="2"/>
        <v>0.6894860399999998</v>
      </c>
      <c r="Y19" s="54">
        <f>D17*(X22-COUNT($V$11:$V18)*0.024*1000)</f>
        <v>128184000000</v>
      </c>
      <c r="Z19" s="240">
        <f t="shared" si="3"/>
        <v>37.674991079999991</v>
      </c>
      <c r="AA19" s="243">
        <f>((A17-A16)/(A18-A16)*(C18-C17)/(A18-A17))+((C17-C16)/(A17-A16)*(A18-A17)/(A18-A16))</f>
        <v>1.2566166666666672</v>
      </c>
      <c r="AB19" s="244">
        <f t="shared" si="6"/>
        <v>1.1540357142857146E-11</v>
      </c>
      <c r="AC19" s="245">
        <f t="shared" si="4"/>
        <v>3.6289965077507524</v>
      </c>
      <c r="AD19" s="240"/>
    </row>
    <row r="20" spans="1:30" ht="16" thickBot="1" x14ac:dyDescent="0.25">
      <c r="A20" s="32">
        <v>36</v>
      </c>
      <c r="B20" s="245">
        <v>7.7399999999999997E-2</v>
      </c>
      <c r="C20" s="169">
        <v>33.564</v>
      </c>
      <c r="D20" s="6"/>
      <c r="E20" s="240">
        <f t="shared" si="0"/>
        <v>1.1123999999999994</v>
      </c>
      <c r="G20" s="36"/>
      <c r="H20" s="5"/>
      <c r="I20" s="5"/>
      <c r="J20" s="110"/>
      <c r="K20" s="110"/>
      <c r="L20" s="110"/>
      <c r="M20" s="196" t="s">
        <v>347</v>
      </c>
      <c r="N20" s="233">
        <f>N18+K15-N11-H17</f>
        <v>34.228030331789142</v>
      </c>
      <c r="R20" s="5"/>
      <c r="S20" s="5"/>
      <c r="T20" s="5"/>
      <c r="U20" s="5"/>
      <c r="V20" s="260">
        <f t="shared" si="1"/>
        <v>30</v>
      </c>
      <c r="W20" s="266">
        <v>1.1555999999999995</v>
      </c>
      <c r="X20" s="261">
        <f t="shared" si="2"/>
        <v>0.12549815999999994</v>
      </c>
      <c r="Y20" s="262">
        <f>D18*(X22-COUNT($V$11:$V19)*0.024*1000)</f>
        <v>22855200000</v>
      </c>
      <c r="Z20" s="263">
        <f t="shared" si="3"/>
        <v>41.02738235999999</v>
      </c>
      <c r="AA20" s="267"/>
      <c r="AB20" s="268"/>
      <c r="AC20" s="266">
        <f t="shared" si="4"/>
        <v>3.7142397062224615</v>
      </c>
      <c r="AD20" s="263"/>
    </row>
    <row r="21" spans="1:30" ht="16" thickBot="1" x14ac:dyDescent="0.25">
      <c r="A21" s="32">
        <v>45</v>
      </c>
      <c r="B21" s="245">
        <v>0.32679999999999998</v>
      </c>
      <c r="C21" s="169">
        <v>29.689900000000002</v>
      </c>
      <c r="D21" s="6"/>
      <c r="E21" s="240">
        <f t="shared" si="0"/>
        <v>1.0907999999999993</v>
      </c>
      <c r="G21" s="5"/>
      <c r="H21" s="5"/>
      <c r="I21" s="5"/>
      <c r="R21" s="36"/>
      <c r="S21" s="36"/>
      <c r="T21" s="5"/>
      <c r="U21" s="5"/>
      <c r="AA21" s="205"/>
      <c r="AB21" s="206"/>
      <c r="AC21" s="5"/>
    </row>
    <row r="22" spans="1:30" ht="16" thickBot="1" x14ac:dyDescent="0.25">
      <c r="A22" s="42">
        <v>48</v>
      </c>
      <c r="B22" s="246">
        <v>0.26719999999999999</v>
      </c>
      <c r="C22" s="238">
        <v>32.639699999999998</v>
      </c>
      <c r="D22" s="9"/>
      <c r="E22" s="242">
        <f t="shared" si="0"/>
        <v>1.0691999999999993</v>
      </c>
      <c r="G22" s="36"/>
      <c r="H22" s="5"/>
      <c r="I22" s="5"/>
      <c r="R22" s="36"/>
      <c r="S22" s="36"/>
      <c r="T22" s="5"/>
      <c r="U22" s="5"/>
      <c r="V22" s="44" t="s">
        <v>94</v>
      </c>
      <c r="W22" s="59"/>
      <c r="X22" s="60">
        <f>H11*1000+H10</f>
        <v>1500</v>
      </c>
      <c r="Z22" s="10" t="s">
        <v>93</v>
      </c>
      <c r="AA22" s="301">
        <f>MAX(AA12:AA19)</f>
        <v>2.3458944444444443</v>
      </c>
      <c r="AB22" s="302">
        <f>MAX(AB12:AB13,AB15:AB19)</f>
        <v>6.7634999999999994E-10</v>
      </c>
      <c r="AC22" s="5"/>
    </row>
    <row r="23" spans="1:30" ht="16" thickBot="1" x14ac:dyDescent="0.25">
      <c r="G23" s="36"/>
      <c r="H23" s="5"/>
      <c r="I23" s="5"/>
      <c r="N23" s="36"/>
      <c r="O23" s="5"/>
      <c r="P23" s="5"/>
      <c r="Q23" s="5"/>
      <c r="R23" s="5"/>
      <c r="S23" s="5"/>
      <c r="T23" s="5"/>
      <c r="U23" s="5"/>
      <c r="Z23" s="10" t="s">
        <v>99</v>
      </c>
      <c r="AA23" s="303">
        <f>(C18-C9)/A18</f>
        <v>1.1761766666666669</v>
      </c>
      <c r="AB23" s="304">
        <f>AVERAGE(AB12:AB13,AB15:AB19)</f>
        <v>2.0690892456180583E-10</v>
      </c>
    </row>
    <row r="24" spans="1:30" ht="17" x14ac:dyDescent="0.2">
      <c r="A24" s="11" t="s">
        <v>296</v>
      </c>
      <c r="D24" s="222"/>
      <c r="G24" s="5"/>
      <c r="H24" s="36"/>
      <c r="I24" s="36"/>
      <c r="J24" s="36"/>
      <c r="K24" s="5"/>
      <c r="L24" s="5"/>
      <c r="M24" s="5"/>
      <c r="N24" s="36"/>
      <c r="O24" s="5"/>
      <c r="P24" s="5"/>
      <c r="Q24" s="5"/>
    </row>
    <row r="25" spans="1:30" ht="17" x14ac:dyDescent="0.2">
      <c r="A25" s="49" t="s">
        <v>297</v>
      </c>
      <c r="G25" s="5"/>
      <c r="H25" s="36"/>
      <c r="I25" s="36"/>
      <c r="J25" s="197"/>
      <c r="K25" s="5"/>
      <c r="L25" s="5"/>
      <c r="M25" s="5"/>
      <c r="N25" s="5"/>
      <c r="O25" s="5"/>
      <c r="P25" s="5"/>
      <c r="Q25" s="5"/>
    </row>
    <row r="26" spans="1:30" ht="17" x14ac:dyDescent="0.2">
      <c r="A26" s="49" t="s">
        <v>299</v>
      </c>
      <c r="G26" s="5"/>
      <c r="H26" s="5"/>
      <c r="I26" s="5"/>
      <c r="J26" s="36"/>
      <c r="K26" s="36"/>
      <c r="L26" s="36"/>
      <c r="M26" s="5"/>
      <c r="N26" s="5"/>
      <c r="O26" s="197"/>
      <c r="P26" s="5"/>
      <c r="Q26" s="5"/>
    </row>
    <row r="27" spans="1:30" ht="17" x14ac:dyDescent="0.2">
      <c r="A27" s="49" t="s">
        <v>385</v>
      </c>
      <c r="J27" s="5"/>
      <c r="K27" s="5"/>
      <c r="L27" s="5"/>
      <c r="M27" s="5"/>
      <c r="N27" s="36"/>
      <c r="O27" s="36"/>
      <c r="P27" s="5"/>
      <c r="Q27" s="5"/>
    </row>
    <row r="28" spans="1:30" ht="17" x14ac:dyDescent="0.2">
      <c r="A28" s="49" t="s">
        <v>308</v>
      </c>
      <c r="B28" s="10"/>
      <c r="J28" s="36"/>
      <c r="K28" s="5"/>
      <c r="L28" s="5"/>
      <c r="M28" s="5"/>
      <c r="N28" s="5"/>
      <c r="O28" s="5"/>
      <c r="P28" s="5"/>
      <c r="Q28" s="5"/>
      <c r="AB28" s="222"/>
    </row>
    <row r="29" spans="1:30" ht="17" x14ac:dyDescent="0.2">
      <c r="A29" s="49" t="s">
        <v>320</v>
      </c>
      <c r="J29" s="36"/>
      <c r="K29" s="5"/>
      <c r="L29" s="5"/>
      <c r="M29" s="5"/>
      <c r="N29" s="5"/>
      <c r="O29" s="5"/>
      <c r="P29" s="5"/>
      <c r="Q29" s="5"/>
    </row>
    <row r="30" spans="1:30" x14ac:dyDescent="0.2">
      <c r="J30" s="5"/>
      <c r="K30" s="5"/>
      <c r="L30" s="5"/>
      <c r="M30" s="5"/>
      <c r="N30" s="5"/>
      <c r="O30" s="5"/>
      <c r="P30" s="5"/>
      <c r="Q30" s="5"/>
    </row>
    <row r="31" spans="1:30" x14ac:dyDescent="0.2">
      <c r="J31" s="36"/>
      <c r="K31" s="5"/>
      <c r="L31" s="5"/>
      <c r="M31" s="5"/>
      <c r="N31" s="36"/>
      <c r="O31" s="5"/>
      <c r="P31" s="5"/>
      <c r="Q31" s="5"/>
    </row>
    <row r="32" spans="1:30" x14ac:dyDescent="0.2">
      <c r="J32" s="5"/>
      <c r="K32" s="36"/>
      <c r="L32" s="36"/>
      <c r="M32" s="5"/>
      <c r="N32" s="36"/>
      <c r="O32" s="36"/>
      <c r="P32" s="5"/>
      <c r="Q32" s="5"/>
    </row>
    <row r="33" spans="10:17" x14ac:dyDescent="0.2">
      <c r="J33" s="5"/>
      <c r="K33" s="5"/>
      <c r="L33" s="5"/>
      <c r="M33" s="5"/>
      <c r="N33" s="5"/>
      <c r="O33" s="5"/>
      <c r="P33" s="5"/>
      <c r="Q33" s="5"/>
    </row>
    <row r="34" spans="10:17" x14ac:dyDescent="0.2">
      <c r="N34" s="5"/>
      <c r="O34" s="5"/>
      <c r="P34" s="5"/>
      <c r="Q34" s="5"/>
    </row>
    <row r="35" spans="10:17" ht="17" x14ac:dyDescent="0.2">
      <c r="N35" s="36"/>
      <c r="O35" s="197"/>
      <c r="P35" s="5"/>
      <c r="Q35" s="5"/>
    </row>
    <row r="36" spans="10:17" x14ac:dyDescent="0.2">
      <c r="N36" s="36"/>
      <c r="O36" s="36"/>
      <c r="P36" s="5"/>
      <c r="Q36" s="5"/>
    </row>
    <row r="37" spans="10:17" x14ac:dyDescent="0.2">
      <c r="N37" s="5"/>
      <c r="O37" s="5"/>
      <c r="P37" s="5"/>
      <c r="Q37" s="5"/>
    </row>
    <row r="38" spans="10:17" x14ac:dyDescent="0.2">
      <c r="N38" s="5"/>
      <c r="O38" s="5"/>
      <c r="P38" s="5"/>
      <c r="Q38" s="5"/>
    </row>
  </sheetData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C36"/>
  <sheetViews>
    <sheetView topLeftCell="Q6" zoomScaleNormal="100" workbookViewId="0">
      <selection activeCell="AA22" sqref="AA22:AB23"/>
    </sheetView>
  </sheetViews>
  <sheetFormatPr baseColWidth="10" defaultColWidth="8.83203125" defaultRowHeight="15" x14ac:dyDescent="0.2"/>
  <cols>
    <col min="1" max="1" width="12.83203125" style="11" customWidth="1"/>
    <col min="2" max="3" width="8.83203125" style="11"/>
    <col min="4" max="4" width="10.5" style="11" bestFit="1" customWidth="1"/>
    <col min="5" max="5" width="13.6640625" style="11" bestFit="1" customWidth="1"/>
    <col min="6" max="6" width="8.83203125" style="11"/>
    <col min="7" max="7" width="24.5" style="11" bestFit="1" customWidth="1"/>
    <col min="8" max="8" width="12.6640625" style="11" customWidth="1"/>
    <col min="9" max="9" width="11.1640625" style="11" bestFit="1" customWidth="1"/>
    <col min="10" max="10" width="32.1640625" style="11" bestFit="1" customWidth="1"/>
    <col min="11" max="11" width="8.83203125" style="11"/>
    <col min="12" max="12" width="4.1640625" style="11" customWidth="1"/>
    <col min="13" max="13" width="37.6640625" style="11" bestFit="1" customWidth="1"/>
    <col min="14" max="15" width="8.83203125" style="11"/>
    <col min="16" max="16" width="24" style="11" bestFit="1" customWidth="1"/>
    <col min="17" max="18" width="8.83203125" style="11"/>
    <col min="19" max="19" width="31.33203125" style="11" bestFit="1" customWidth="1"/>
    <col min="20" max="21" width="8.83203125" style="11"/>
    <col min="22" max="22" width="13.33203125" style="11" bestFit="1" customWidth="1"/>
    <col min="23" max="23" width="10.5" style="11" bestFit="1" customWidth="1"/>
    <col min="24" max="26" width="8.83203125" style="11"/>
    <col min="27" max="27" width="22.5" style="11" bestFit="1" customWidth="1"/>
    <col min="28" max="28" width="19.33203125" style="11" bestFit="1" customWidth="1"/>
    <col min="29" max="29" width="12" style="11" bestFit="1" customWidth="1"/>
    <col min="30" max="16384" width="8.83203125" style="11"/>
  </cols>
  <sheetData>
    <row r="1" spans="1:29" x14ac:dyDescent="0.2">
      <c r="A1" s="191" t="s">
        <v>346</v>
      </c>
      <c r="B1" s="191"/>
      <c r="C1" s="191"/>
      <c r="D1" s="191"/>
      <c r="E1" s="191"/>
    </row>
    <row r="3" spans="1:29" x14ac:dyDescent="0.2">
      <c r="A3" s="10" t="s">
        <v>291</v>
      </c>
      <c r="D3" s="5" t="s">
        <v>215</v>
      </c>
      <c r="E3" s="5"/>
    </row>
    <row r="6" spans="1:29" ht="16" thickBot="1" x14ac:dyDescent="0.25">
      <c r="A6" s="10" t="s">
        <v>84</v>
      </c>
      <c r="J6" s="10" t="s">
        <v>88</v>
      </c>
    </row>
    <row r="7" spans="1:29" x14ac:dyDescent="0.2">
      <c r="A7" s="43" t="s">
        <v>293</v>
      </c>
      <c r="B7" s="43" t="s">
        <v>80</v>
      </c>
      <c r="C7" s="33" t="s">
        <v>81</v>
      </c>
      <c r="D7" s="34" t="s">
        <v>295</v>
      </c>
      <c r="E7" s="192" t="s">
        <v>381</v>
      </c>
      <c r="P7" s="198" t="s">
        <v>311</v>
      </c>
      <c r="S7" s="198" t="s">
        <v>82</v>
      </c>
      <c r="V7" s="198" t="s">
        <v>90</v>
      </c>
      <c r="W7" s="5"/>
      <c r="X7" s="5"/>
      <c r="Y7" s="5"/>
      <c r="Z7" s="5"/>
      <c r="AA7" s="5"/>
      <c r="AB7" s="5"/>
    </row>
    <row r="8" spans="1:29" ht="16" thickBot="1" x14ac:dyDescent="0.25">
      <c r="A8" s="61" t="s">
        <v>79</v>
      </c>
      <c r="B8" s="61" t="s">
        <v>76</v>
      </c>
      <c r="C8" s="53" t="s">
        <v>76</v>
      </c>
      <c r="D8" s="55" t="s">
        <v>294</v>
      </c>
      <c r="E8" s="203" t="s">
        <v>382</v>
      </c>
      <c r="G8" s="108" t="s">
        <v>87</v>
      </c>
      <c r="H8" s="50"/>
      <c r="J8" s="198" t="s">
        <v>310</v>
      </c>
      <c r="V8" s="36"/>
      <c r="W8" s="5"/>
      <c r="X8" s="36"/>
      <c r="Y8" s="36"/>
      <c r="Z8" s="5"/>
      <c r="AA8" s="36"/>
      <c r="AB8" s="36"/>
    </row>
    <row r="9" spans="1:29" ht="18" x14ac:dyDescent="0.25">
      <c r="A9" s="62">
        <v>0</v>
      </c>
      <c r="B9" s="249">
        <v>15.0555</v>
      </c>
      <c r="C9" s="168">
        <v>0.62019999999999997</v>
      </c>
      <c r="D9" s="56">
        <f>AVERAGE(243,168)/10^(-5)/0.1</f>
        <v>205500000</v>
      </c>
      <c r="E9" s="239">
        <f>H11+K12</f>
        <v>1.35</v>
      </c>
      <c r="F9" s="54"/>
      <c r="G9" s="200" t="s">
        <v>86</v>
      </c>
      <c r="H9" s="229">
        <v>0.42259999999999998</v>
      </c>
      <c r="J9" s="196" t="s">
        <v>298</v>
      </c>
      <c r="K9" s="110"/>
      <c r="L9" s="110"/>
      <c r="M9" s="196" t="s">
        <v>306</v>
      </c>
      <c r="N9" s="199"/>
      <c r="P9" s="196" t="s">
        <v>89</v>
      </c>
      <c r="Q9" s="196"/>
      <c r="S9" s="196" t="s">
        <v>348</v>
      </c>
      <c r="T9" s="226">
        <f>Q14/N20</f>
        <v>0.96779558382766318</v>
      </c>
      <c r="V9" s="192" t="s">
        <v>315</v>
      </c>
      <c r="W9" s="33" t="s">
        <v>321</v>
      </c>
      <c r="X9" s="33" t="s">
        <v>80</v>
      </c>
      <c r="Y9" s="33" t="s">
        <v>317</v>
      </c>
      <c r="Z9" s="34" t="s">
        <v>81</v>
      </c>
      <c r="AA9" s="205" t="s">
        <v>217</v>
      </c>
      <c r="AB9" s="293" t="s">
        <v>83</v>
      </c>
      <c r="AC9" s="192" t="s">
        <v>392</v>
      </c>
    </row>
    <row r="10" spans="1:29" ht="18" thickBot="1" x14ac:dyDescent="0.3">
      <c r="A10" s="32">
        <v>3</v>
      </c>
      <c r="B10" s="245">
        <v>30.981999999999999</v>
      </c>
      <c r="C10" s="169">
        <v>5.7358000000000002</v>
      </c>
      <c r="D10" s="48">
        <v>146000000</v>
      </c>
      <c r="E10" s="240">
        <f>E9-$H$16</f>
        <v>1.3284</v>
      </c>
      <c r="F10" s="54"/>
      <c r="G10" s="200" t="s">
        <v>304</v>
      </c>
      <c r="H10" s="229">
        <v>354.94557501183152</v>
      </c>
      <c r="J10" s="199"/>
      <c r="K10" s="110"/>
      <c r="L10" s="199"/>
      <c r="M10" s="199"/>
      <c r="N10" s="199"/>
      <c r="P10" s="110"/>
      <c r="Q10" s="110"/>
      <c r="S10" s="196" t="s">
        <v>374</v>
      </c>
      <c r="T10" s="226">
        <f>Q14/N18</f>
        <v>1.0109404155162902</v>
      </c>
      <c r="V10" s="203" t="s">
        <v>79</v>
      </c>
      <c r="W10" s="53" t="s">
        <v>316</v>
      </c>
      <c r="X10" s="53" t="s">
        <v>78</v>
      </c>
      <c r="Y10" s="53" t="s">
        <v>318</v>
      </c>
      <c r="Z10" s="55" t="s">
        <v>319</v>
      </c>
      <c r="AA10" s="207" t="s">
        <v>323</v>
      </c>
      <c r="AB10" s="294" t="s">
        <v>322</v>
      </c>
      <c r="AC10" s="203"/>
    </row>
    <row r="11" spans="1:29" ht="18" x14ac:dyDescent="0.25">
      <c r="A11" s="32">
        <v>6</v>
      </c>
      <c r="B11" s="245">
        <v>16.755700000000001</v>
      </c>
      <c r="C11" s="169">
        <v>10.639200000000001</v>
      </c>
      <c r="D11" s="48">
        <v>24000000</v>
      </c>
      <c r="E11" s="240">
        <f t="shared" ref="E11:E20" si="0">E10-$H$16</f>
        <v>1.3068</v>
      </c>
      <c r="F11" s="54"/>
      <c r="G11" s="109" t="s">
        <v>305</v>
      </c>
      <c r="H11" s="229">
        <f>(1500-H10)/1000</f>
        <v>1.1450544249881685</v>
      </c>
      <c r="J11" s="109" t="s">
        <v>302</v>
      </c>
      <c r="K11" s="199">
        <v>6.8</v>
      </c>
      <c r="L11" s="110"/>
      <c r="M11" s="200" t="s">
        <v>307</v>
      </c>
      <c r="N11" s="230">
        <f>B20*(E20)</f>
        <v>0.18109871999999991</v>
      </c>
      <c r="P11" s="109" t="s">
        <v>312</v>
      </c>
      <c r="Q11" s="229">
        <f>C9*(E9)</f>
        <v>0.83727000000000007</v>
      </c>
      <c r="S11" s="196" t="s">
        <v>375</v>
      </c>
      <c r="T11" s="226">
        <f>Q14/(H9*H10)</f>
        <v>0.2668698719999999</v>
      </c>
      <c r="V11" s="30">
        <f t="shared" ref="V11:V20" si="1">A9</f>
        <v>0</v>
      </c>
      <c r="W11" s="249">
        <v>1.35</v>
      </c>
      <c r="X11" s="168">
        <f t="shared" ref="X11:X20" si="2">B9*W11</f>
        <v>20.324925</v>
      </c>
      <c r="Y11" s="210">
        <f>D9*X22</f>
        <v>308250000000</v>
      </c>
      <c r="Z11" s="239">
        <f t="shared" ref="Z11:Z20" si="3">C9*W11</f>
        <v>0.83727000000000007</v>
      </c>
      <c r="AA11" s="62"/>
      <c r="AB11" s="38"/>
      <c r="AC11" s="234">
        <f t="shared" ref="AC11:AC20" si="4">LN(Z11)</f>
        <v>-0.17760867986545031</v>
      </c>
    </row>
    <row r="12" spans="1:29" ht="18" x14ac:dyDescent="0.25">
      <c r="A12" s="32">
        <v>9</v>
      </c>
      <c r="B12" s="245">
        <v>11.053599999999999</v>
      </c>
      <c r="C12" s="169">
        <v>16.194099999999999</v>
      </c>
      <c r="D12" s="48">
        <v>41000000</v>
      </c>
      <c r="E12" s="240">
        <f t="shared" si="0"/>
        <v>1.2851999999999999</v>
      </c>
      <c r="F12" s="54"/>
      <c r="G12" s="108" t="s">
        <v>94</v>
      </c>
      <c r="H12" s="50">
        <f>H10+H11*1000</f>
        <v>1500</v>
      </c>
      <c r="I12" s="5"/>
      <c r="J12" s="109" t="s">
        <v>301</v>
      </c>
      <c r="K12" s="229">
        <f>(1-H9)*H10/1000</f>
        <v>0.20494557501183153</v>
      </c>
      <c r="L12" s="110"/>
      <c r="M12" s="110"/>
      <c r="N12" s="199"/>
      <c r="P12" s="109" t="s">
        <v>313</v>
      </c>
      <c r="Q12" s="229">
        <f>C20*(E20)</f>
        <v>35.781680879999982</v>
      </c>
      <c r="T12" s="10"/>
      <c r="V12" s="46">
        <f t="shared" si="1"/>
        <v>3</v>
      </c>
      <c r="W12" s="245">
        <v>1.3284</v>
      </c>
      <c r="X12" s="169">
        <f t="shared" si="2"/>
        <v>41.156488799999998</v>
      </c>
      <c r="Y12" s="54">
        <f>D10*(X22-COUNT($V$11:$V11)*0.024*1000)</f>
        <v>215496000000</v>
      </c>
      <c r="Z12" s="240">
        <f t="shared" si="3"/>
        <v>7.6194367200000004</v>
      </c>
      <c r="AA12" s="243">
        <f>((A10-A9)/(A11-A9)*(C11-C10)/(A11-A10))+((C10-C9)/(A10-A9)*(A11-A10)/(A11-A9))</f>
        <v>1.6698333333333335</v>
      </c>
      <c r="AB12" s="284">
        <f>(AA12*0.9/1000)/D10</f>
        <v>1.0293493150684932E-11</v>
      </c>
      <c r="AC12" s="235">
        <f t="shared" si="4"/>
        <v>2.0307024457064013</v>
      </c>
    </row>
    <row r="13" spans="1:29" x14ac:dyDescent="0.2">
      <c r="A13" s="32">
        <v>12</v>
      </c>
      <c r="B13" s="245">
        <v>7.7035</v>
      </c>
      <c r="C13" s="169">
        <v>22.0793</v>
      </c>
      <c r="D13" s="48">
        <v>338000000</v>
      </c>
      <c r="E13" s="240">
        <f t="shared" si="0"/>
        <v>1.2635999999999998</v>
      </c>
      <c r="F13" s="54"/>
      <c r="I13" s="5"/>
      <c r="J13" s="199"/>
      <c r="K13" s="199"/>
      <c r="L13" s="110"/>
      <c r="M13" s="110"/>
      <c r="N13" s="200"/>
      <c r="P13" s="110"/>
      <c r="Q13" s="110"/>
      <c r="V13" s="46">
        <f t="shared" si="1"/>
        <v>6</v>
      </c>
      <c r="W13" s="245">
        <v>1.3068</v>
      </c>
      <c r="X13" s="169">
        <f t="shared" si="2"/>
        <v>21.896348760000002</v>
      </c>
      <c r="Y13" s="54">
        <f>D11*(X22-COUNT($V$11:$V12)*0.024*1000)</f>
        <v>34848000000</v>
      </c>
      <c r="Z13" s="240">
        <f t="shared" si="3"/>
        <v>13.903306560000001</v>
      </c>
      <c r="AA13" s="243">
        <f t="shared" ref="AA13:AA18" si="5">((A11-A10)/(A12-A10)*(C12-C11)/(A12-A11))+((C11-C10)/(A11-A10)*(A12-A11)/(A12-A10))</f>
        <v>1.7430499999999998</v>
      </c>
      <c r="AB13" s="284">
        <f t="shared" ref="AB13:AB18" si="6">(AA13*0.9/1000)/D11</f>
        <v>6.5364374999999993E-11</v>
      </c>
      <c r="AC13" s="235">
        <f t="shared" si="4"/>
        <v>2.6321266938615944</v>
      </c>
    </row>
    <row r="14" spans="1:29" ht="18" x14ac:dyDescent="0.25">
      <c r="A14" s="32">
        <v>15</v>
      </c>
      <c r="B14" s="245">
        <v>4.4298000000000002</v>
      </c>
      <c r="C14" s="169">
        <v>25.4909</v>
      </c>
      <c r="D14" s="48">
        <v>390000000</v>
      </c>
      <c r="E14" s="240">
        <f t="shared" si="0"/>
        <v>1.2419999999999998</v>
      </c>
      <c r="F14" s="54"/>
      <c r="G14" s="108" t="s">
        <v>309</v>
      </c>
      <c r="H14" s="50"/>
      <c r="I14" s="36"/>
      <c r="J14" s="109" t="s">
        <v>303</v>
      </c>
      <c r="K14" s="229">
        <f>(10*243.364/1000+K11*K12)/(E9)</f>
        <v>2.8350147482077439</v>
      </c>
      <c r="L14" s="110"/>
      <c r="M14" s="196" t="s">
        <v>327</v>
      </c>
      <c r="N14" s="200"/>
      <c r="P14" s="196" t="s">
        <v>314</v>
      </c>
      <c r="Q14" s="233">
        <f>Q12-Q11+H18</f>
        <v>40.030480799999985</v>
      </c>
      <c r="S14" s="5"/>
      <c r="T14" s="36"/>
      <c r="U14" s="197"/>
      <c r="V14" s="46">
        <f t="shared" si="1"/>
        <v>9</v>
      </c>
      <c r="W14" s="245">
        <v>1.2851999999999999</v>
      </c>
      <c r="X14" s="169">
        <f t="shared" si="2"/>
        <v>14.206086719999998</v>
      </c>
      <c r="Y14" s="54">
        <f>D12*(X22-COUNT($V$11:$V13)*0.024*1000)</f>
        <v>58548000000</v>
      </c>
      <c r="Z14" s="240">
        <f t="shared" si="3"/>
        <v>20.812657319999996</v>
      </c>
      <c r="AA14" s="243">
        <f t="shared" si="5"/>
        <v>1.9066833333333333</v>
      </c>
      <c r="AB14" s="284">
        <f t="shared" si="6"/>
        <v>4.1854024390243902E-11</v>
      </c>
      <c r="AC14" s="235">
        <f t="shared" si="4"/>
        <v>3.0355613266310129</v>
      </c>
    </row>
    <row r="15" spans="1:29" ht="17" x14ac:dyDescent="0.25">
      <c r="A15" s="32">
        <v>21</v>
      </c>
      <c r="B15" s="245">
        <v>0.46879999999999999</v>
      </c>
      <c r="C15" s="169">
        <v>32.5533</v>
      </c>
      <c r="D15" s="48">
        <v>270000000</v>
      </c>
      <c r="E15" s="240">
        <f t="shared" si="0"/>
        <v>1.2203999999999997</v>
      </c>
      <c r="F15" s="54"/>
      <c r="G15" s="199" t="s">
        <v>95</v>
      </c>
      <c r="H15" s="199">
        <f>COUNT(B9:B18)</f>
        <v>10</v>
      </c>
      <c r="I15" s="5"/>
      <c r="J15" s="109" t="s">
        <v>300</v>
      </c>
      <c r="K15" s="230">
        <f>10*243.364/1000+K11*K12</f>
        <v>3.8272699100804544</v>
      </c>
      <c r="L15" s="110"/>
      <c r="M15" s="110"/>
      <c r="N15" s="199"/>
      <c r="P15" s="36"/>
      <c r="Q15" s="36"/>
      <c r="S15" s="5"/>
      <c r="T15" s="36"/>
      <c r="U15" s="36"/>
      <c r="V15" s="46">
        <f t="shared" si="1"/>
        <v>12</v>
      </c>
      <c r="W15" s="245">
        <v>1.2635999999999998</v>
      </c>
      <c r="X15" s="169">
        <f t="shared" si="2"/>
        <v>9.7341425999999984</v>
      </c>
      <c r="Y15" s="54">
        <f>D13*(X22-COUNT($V$11:$V14)*0.024*1000)</f>
        <v>474552000000</v>
      </c>
      <c r="Z15" s="240">
        <f t="shared" si="3"/>
        <v>27.899403479999997</v>
      </c>
      <c r="AA15" s="243">
        <f t="shared" si="5"/>
        <v>1.549466666666667</v>
      </c>
      <c r="AB15" s="284">
        <f t="shared" si="6"/>
        <v>4.125798816568049E-12</v>
      </c>
      <c r="AC15" s="235">
        <f t="shared" si="4"/>
        <v>3.3286053079535893</v>
      </c>
    </row>
    <row r="16" spans="1:29" x14ac:dyDescent="0.2">
      <c r="A16" s="264">
        <v>24</v>
      </c>
      <c r="B16" s="252">
        <v>0.13950000000000001</v>
      </c>
      <c r="C16" s="253">
        <v>30.207899999999999</v>
      </c>
      <c r="D16" s="258">
        <v>310000000</v>
      </c>
      <c r="E16" s="255">
        <f t="shared" si="0"/>
        <v>1.1987999999999996</v>
      </c>
      <c r="F16" s="54"/>
      <c r="G16" s="199" t="s">
        <v>96</v>
      </c>
      <c r="H16" s="199">
        <f>0.9*0.024</f>
        <v>2.1600000000000001E-2</v>
      </c>
      <c r="I16" s="5"/>
      <c r="J16" s="110"/>
      <c r="K16" s="201"/>
      <c r="L16" s="110"/>
      <c r="M16" s="200" t="s">
        <v>328</v>
      </c>
      <c r="N16" s="229">
        <f>AVERAGE('4 Amount of released glucose'!D10:D18)*'10 40% adapt. X=10mg'!H9*'10 40% adapt. X=10mg'!H10</f>
        <v>87.296317767830757</v>
      </c>
      <c r="P16" s="5"/>
      <c r="Q16" s="5"/>
      <c r="S16" s="5"/>
      <c r="T16" s="5"/>
      <c r="U16" s="5"/>
      <c r="V16" s="46">
        <f t="shared" si="1"/>
        <v>15</v>
      </c>
      <c r="W16" s="245">
        <v>1.2419999999999998</v>
      </c>
      <c r="X16" s="169">
        <f t="shared" si="2"/>
        <v>5.501811599999999</v>
      </c>
      <c r="Y16" s="54">
        <f>D14*(X22-COUNT($V$11:$V15)*0.024*1000)</f>
        <v>538200000000</v>
      </c>
      <c r="Z16" s="240">
        <f t="shared" si="3"/>
        <v>31.659697799999993</v>
      </c>
      <c r="AA16" s="243">
        <f t="shared" si="5"/>
        <v>1.1504888888888889</v>
      </c>
      <c r="AB16" s="284">
        <f t="shared" si="6"/>
        <v>2.6549743589743592E-12</v>
      </c>
      <c r="AC16" s="235">
        <f t="shared" si="4"/>
        <v>3.4550445092399067</v>
      </c>
    </row>
    <row r="17" spans="1:29" ht="17" x14ac:dyDescent="0.25">
      <c r="A17" s="32">
        <v>27</v>
      </c>
      <c r="B17" s="245">
        <v>0.17430000000000001</v>
      </c>
      <c r="C17" s="169">
        <v>30.619599999999998</v>
      </c>
      <c r="D17" s="48">
        <v>0</v>
      </c>
      <c r="E17" s="240">
        <f t="shared" si="0"/>
        <v>1.1771999999999996</v>
      </c>
      <c r="F17" s="54"/>
      <c r="G17" s="200" t="s">
        <v>97</v>
      </c>
      <c r="H17" s="230">
        <f>H16*(SUM(B9:B19))</f>
        <v>1.8809042400000004</v>
      </c>
      <c r="I17" s="5"/>
      <c r="J17" s="110"/>
      <c r="K17" s="110"/>
      <c r="L17" s="110"/>
      <c r="M17" s="200" t="s">
        <v>329</v>
      </c>
      <c r="N17" s="229">
        <f>AVERAGE('4 Amount of released glucose'!D82:D90)*'10 40% adapt. X=10mg'!H9*'10 40% adapt. X=10mg'!H10</f>
        <v>47.699047557245393</v>
      </c>
      <c r="P17" s="5"/>
      <c r="Q17" s="5"/>
      <c r="S17" s="5"/>
      <c r="T17" s="5"/>
      <c r="U17" s="5"/>
      <c r="V17" s="46">
        <f t="shared" si="1"/>
        <v>21</v>
      </c>
      <c r="W17" s="245">
        <v>1.2203999999999997</v>
      </c>
      <c r="X17" s="169">
        <f t="shared" si="2"/>
        <v>0.57212351999999989</v>
      </c>
      <c r="Y17" s="54">
        <f>D15*(X22-COUNT($V$11:$V16)*0.024*1000)</f>
        <v>366120000000</v>
      </c>
      <c r="Z17" s="240">
        <f t="shared" si="3"/>
        <v>39.728047319999988</v>
      </c>
      <c r="AA17" s="243">
        <f t="shared" si="5"/>
        <v>-0.12884444444444476</v>
      </c>
      <c r="AB17" s="284">
        <f t="shared" si="6"/>
        <v>-4.2948148148148254E-13</v>
      </c>
      <c r="AC17" s="235">
        <f t="shared" si="4"/>
        <v>3.6820574198645777</v>
      </c>
    </row>
    <row r="18" spans="1:29" x14ac:dyDescent="0.2">
      <c r="A18" s="32">
        <v>30</v>
      </c>
      <c r="B18" s="245">
        <v>0.1615</v>
      </c>
      <c r="C18" s="169">
        <v>30.673100000000002</v>
      </c>
      <c r="D18" s="48">
        <v>100000000</v>
      </c>
      <c r="E18" s="240">
        <f t="shared" si="0"/>
        <v>1.1555999999999995</v>
      </c>
      <c r="F18" s="54"/>
      <c r="G18" s="200" t="s">
        <v>98</v>
      </c>
      <c r="H18" s="230">
        <f>H16*(SUM(C9:C19))</f>
        <v>5.0860699200000008</v>
      </c>
      <c r="J18" s="110"/>
      <c r="K18" s="110"/>
      <c r="L18" s="110"/>
      <c r="M18" s="200" t="s">
        <v>330</v>
      </c>
      <c r="N18" s="230">
        <f>N16-N17</f>
        <v>39.597270210585364</v>
      </c>
      <c r="P18" s="5"/>
      <c r="Q18" s="5"/>
      <c r="S18" s="5"/>
      <c r="T18" s="5"/>
      <c r="U18" s="5"/>
      <c r="V18" s="251">
        <f t="shared" si="1"/>
        <v>24</v>
      </c>
      <c r="W18" s="252">
        <v>1.1987999999999996</v>
      </c>
      <c r="X18" s="253">
        <f t="shared" si="2"/>
        <v>0.16723259999999995</v>
      </c>
      <c r="Y18" s="254">
        <f>D16*(X22-COUNT($V$11:$V17)*0.024*1000)</f>
        <v>412920000000</v>
      </c>
      <c r="Z18" s="255">
        <f t="shared" si="3"/>
        <v>36.213230519999989</v>
      </c>
      <c r="AA18" s="256">
        <f t="shared" si="5"/>
        <v>-0.32228333333333364</v>
      </c>
      <c r="AB18" s="254">
        <f t="shared" si="6"/>
        <v>-9.3566129032258159E-13</v>
      </c>
      <c r="AC18" s="259">
        <f t="shared" si="4"/>
        <v>3.5894245360366259</v>
      </c>
    </row>
    <row r="19" spans="1:29" x14ac:dyDescent="0.2">
      <c r="A19" s="32">
        <v>33</v>
      </c>
      <c r="B19" s="245">
        <v>0.1547</v>
      </c>
      <c r="C19" s="169">
        <v>30.652799999999999</v>
      </c>
      <c r="D19" s="6"/>
      <c r="E19" s="240">
        <f t="shared" si="0"/>
        <v>1.1339999999999995</v>
      </c>
      <c r="J19" s="110"/>
      <c r="K19" s="110"/>
      <c r="L19" s="110"/>
      <c r="M19" s="110"/>
      <c r="N19" s="229"/>
      <c r="P19" s="36"/>
      <c r="Q19" s="5"/>
      <c r="T19" s="5"/>
      <c r="U19" s="5"/>
      <c r="V19" s="46">
        <f t="shared" si="1"/>
        <v>27</v>
      </c>
      <c r="W19" s="245">
        <v>1.1771999999999996</v>
      </c>
      <c r="X19" s="169">
        <f t="shared" si="2"/>
        <v>0.20518595999999995</v>
      </c>
      <c r="Y19" s="54">
        <f>D17*(X22-COUNT($V$11:$V18)*0.024*1000)</f>
        <v>0</v>
      </c>
      <c r="Z19" s="240">
        <f t="shared" si="3"/>
        <v>36.045393119999986</v>
      </c>
      <c r="AA19" s="243">
        <f>((A17-A16)/(A18-A16)*(C18-C17)/(A18-A17))+((C17-C16)/(A17-A16)*(A18-A17)/(A18-A16))</f>
        <v>7.7533333333333815E-2</v>
      </c>
      <c r="AB19" s="284" t="s">
        <v>397</v>
      </c>
      <c r="AC19" s="235">
        <f t="shared" si="4"/>
        <v>3.5847790641641089</v>
      </c>
    </row>
    <row r="20" spans="1:29" ht="16" thickBot="1" x14ac:dyDescent="0.25">
      <c r="A20" s="42">
        <v>48</v>
      </c>
      <c r="B20" s="246">
        <v>0.1628</v>
      </c>
      <c r="C20" s="238">
        <v>32.166200000000003</v>
      </c>
      <c r="D20" s="9"/>
      <c r="E20" s="242">
        <f t="shared" si="0"/>
        <v>1.1123999999999994</v>
      </c>
      <c r="H20" s="36"/>
      <c r="I20" s="5"/>
      <c r="J20" s="110"/>
      <c r="K20" s="110"/>
      <c r="L20" s="110"/>
      <c r="M20" s="196" t="s">
        <v>347</v>
      </c>
      <c r="N20" s="233">
        <f>N18+K15-N11-H17</f>
        <v>41.362537160665816</v>
      </c>
      <c r="P20" s="36"/>
      <c r="Q20" s="36"/>
      <c r="T20" s="36"/>
      <c r="U20" s="5"/>
      <c r="V20" s="31">
        <f t="shared" si="1"/>
        <v>30</v>
      </c>
      <c r="W20" s="246">
        <v>1.1555999999999995</v>
      </c>
      <c r="X20" s="238">
        <f t="shared" si="2"/>
        <v>0.18662939999999992</v>
      </c>
      <c r="Y20" s="65">
        <f>D18*(X22-COUNT($V$11:$V19)*0.024*1000)</f>
        <v>128400000000</v>
      </c>
      <c r="Z20" s="242">
        <f t="shared" si="3"/>
        <v>35.445834359999985</v>
      </c>
      <c r="AA20" s="209"/>
      <c r="AB20" s="277"/>
      <c r="AC20" s="236">
        <f t="shared" si="4"/>
        <v>3.5680057385982744</v>
      </c>
    </row>
    <row r="21" spans="1:29" ht="16" thickBot="1" x14ac:dyDescent="0.25">
      <c r="H21" s="5"/>
      <c r="I21" s="5"/>
      <c r="K21" s="36"/>
      <c r="L21" s="5"/>
      <c r="M21" s="5"/>
      <c r="N21" s="5"/>
      <c r="P21" s="5"/>
      <c r="Q21" s="5"/>
      <c r="T21" s="5"/>
      <c r="U21" s="5"/>
      <c r="AA21" s="205"/>
      <c r="AB21" s="206"/>
    </row>
    <row r="22" spans="1:29" ht="18" thickBot="1" x14ac:dyDescent="0.25">
      <c r="A22" s="11" t="s">
        <v>296</v>
      </c>
      <c r="C22" s="51"/>
      <c r="H22" s="36"/>
      <c r="I22" s="5"/>
      <c r="K22" s="197"/>
      <c r="L22" s="5"/>
      <c r="M22" s="5"/>
      <c r="N22" s="5"/>
      <c r="P22" s="5"/>
      <c r="Q22" s="5"/>
      <c r="T22" s="5"/>
      <c r="U22" s="5"/>
      <c r="V22" s="44" t="s">
        <v>94</v>
      </c>
      <c r="W22" s="59"/>
      <c r="X22" s="60">
        <f>H11*1000+H10</f>
        <v>1500</v>
      </c>
      <c r="Z22" s="10" t="s">
        <v>93</v>
      </c>
      <c r="AA22" s="301">
        <f>MAX(AA12:AA17)</f>
        <v>1.9066833333333333</v>
      </c>
      <c r="AB22" s="302">
        <f>MAX(AB12:AB17)</f>
        <v>6.5364374999999993E-11</v>
      </c>
    </row>
    <row r="23" spans="1:29" ht="18" thickBot="1" x14ac:dyDescent="0.25">
      <c r="A23" s="49" t="s">
        <v>297</v>
      </c>
      <c r="D23" s="222"/>
      <c r="H23" s="36"/>
      <c r="I23" s="5"/>
      <c r="K23" s="36"/>
      <c r="L23" s="36"/>
      <c r="M23" s="36"/>
      <c r="N23" s="5"/>
      <c r="P23" s="36"/>
      <c r="Q23" s="197"/>
      <c r="T23" s="36"/>
      <c r="U23" s="36"/>
      <c r="Z23" s="10" t="s">
        <v>99</v>
      </c>
      <c r="AA23" s="303">
        <f>(C16-C9)/A16</f>
        <v>1.2328208333333333</v>
      </c>
      <c r="AB23" s="304">
        <f>AVERAGE(AB12:AB17)</f>
        <v>2.064386403916496E-11</v>
      </c>
    </row>
    <row r="24" spans="1:29" ht="17" x14ac:dyDescent="0.2">
      <c r="A24" s="49" t="s">
        <v>299</v>
      </c>
      <c r="K24" s="5"/>
      <c r="L24" s="5"/>
      <c r="M24" s="5"/>
      <c r="N24" s="5"/>
      <c r="P24" s="36"/>
      <c r="Q24" s="36"/>
      <c r="T24" s="36"/>
      <c r="U24" s="36"/>
      <c r="V24" s="5"/>
    </row>
    <row r="25" spans="1:29" ht="17" x14ac:dyDescent="0.2">
      <c r="A25" s="49" t="s">
        <v>385</v>
      </c>
      <c r="K25" s="36"/>
      <c r="L25" s="5"/>
      <c r="M25" s="5"/>
      <c r="N25" s="5"/>
      <c r="P25" s="5"/>
      <c r="Q25" s="5"/>
      <c r="T25" s="5"/>
      <c r="U25" s="5"/>
      <c r="V25" s="5"/>
    </row>
    <row r="26" spans="1:29" ht="17" x14ac:dyDescent="0.2">
      <c r="A26" s="49" t="s">
        <v>308</v>
      </c>
      <c r="G26" s="5"/>
      <c r="H26" s="36"/>
      <c r="I26" s="36"/>
      <c r="J26" s="5"/>
      <c r="K26" s="36"/>
      <c r="L26" s="5"/>
      <c r="M26" s="5"/>
      <c r="N26" s="5"/>
      <c r="P26" s="5"/>
      <c r="Q26" s="5"/>
    </row>
    <row r="27" spans="1:29" ht="17" x14ac:dyDescent="0.2">
      <c r="A27" s="49" t="s">
        <v>320</v>
      </c>
      <c r="G27" s="5"/>
      <c r="H27" s="36"/>
      <c r="I27" s="36"/>
      <c r="J27" s="5"/>
      <c r="K27" s="5"/>
      <c r="L27" s="5"/>
      <c r="M27" s="5"/>
      <c r="N27" s="5"/>
    </row>
    <row r="28" spans="1:29" x14ac:dyDescent="0.2">
      <c r="G28" s="5"/>
      <c r="H28" s="5"/>
      <c r="I28" s="5"/>
      <c r="J28" s="5"/>
      <c r="K28" s="36"/>
      <c r="L28" s="5"/>
      <c r="M28" s="5"/>
      <c r="N28" s="5"/>
    </row>
    <row r="29" spans="1:29" x14ac:dyDescent="0.2">
      <c r="K29" s="5"/>
      <c r="L29" s="36"/>
      <c r="M29" s="36"/>
      <c r="N29" s="5"/>
    </row>
    <row r="30" spans="1:29" x14ac:dyDescent="0.2">
      <c r="B30" s="10"/>
      <c r="K30" s="5"/>
      <c r="L30" s="5"/>
      <c r="M30" s="5"/>
      <c r="N30" s="5"/>
    </row>
    <row r="31" spans="1:29" x14ac:dyDescent="0.2">
      <c r="K31" s="5"/>
      <c r="L31" s="5"/>
      <c r="M31" s="5"/>
      <c r="N31" s="5"/>
    </row>
    <row r="33" spans="12:12" ht="17" x14ac:dyDescent="0.2">
      <c r="L33" s="49"/>
    </row>
    <row r="34" spans="12:12" ht="17" x14ac:dyDescent="0.2">
      <c r="L34" s="49"/>
    </row>
    <row r="35" spans="12:12" ht="17" x14ac:dyDescent="0.2">
      <c r="L35" s="49"/>
    </row>
    <row r="36" spans="12:12" ht="17" x14ac:dyDescent="0.2">
      <c r="L36" s="4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AE76"/>
  <sheetViews>
    <sheetView topLeftCell="T59" zoomScaleNormal="100" workbookViewId="0">
      <selection activeCell="H53" sqref="H53"/>
    </sheetView>
  </sheetViews>
  <sheetFormatPr baseColWidth="10" defaultColWidth="8.83203125" defaultRowHeight="15" x14ac:dyDescent="0.2"/>
  <cols>
    <col min="1" max="1" width="12.83203125" style="11" customWidth="1"/>
    <col min="2" max="2" width="10" style="11" customWidth="1"/>
    <col min="3" max="3" width="8.83203125" style="11"/>
    <col min="4" max="4" width="9.83203125" style="11" bestFit="1" customWidth="1"/>
    <col min="5" max="5" width="13.6640625" style="11" bestFit="1" customWidth="1"/>
    <col min="6" max="6" width="8.83203125" style="11"/>
    <col min="7" max="7" width="24.5" style="11" bestFit="1" customWidth="1"/>
    <col min="8" max="8" width="13.33203125" style="11" customWidth="1"/>
    <col min="9" max="9" width="11.1640625" style="11" bestFit="1" customWidth="1"/>
    <col min="10" max="10" width="32.1640625" style="11" bestFit="1" customWidth="1"/>
    <col min="11" max="11" width="8.83203125" style="11"/>
    <col min="12" max="12" width="6.1640625" style="11" customWidth="1"/>
    <col min="13" max="13" width="37.6640625" style="11" bestFit="1" customWidth="1"/>
    <col min="14" max="15" width="8.83203125" style="11"/>
    <col min="16" max="16" width="29.83203125" style="11" bestFit="1" customWidth="1"/>
    <col min="17" max="18" width="8.83203125" style="11"/>
    <col min="19" max="19" width="31.33203125" style="11" bestFit="1" customWidth="1"/>
    <col min="20" max="20" width="8.83203125" style="11"/>
    <col min="21" max="21" width="13.33203125" style="11" customWidth="1"/>
    <col min="22" max="22" width="13.33203125" style="11" bestFit="1" customWidth="1"/>
    <col min="23" max="23" width="22.5" style="11" bestFit="1" customWidth="1"/>
    <col min="24" max="24" width="8.83203125" style="11"/>
    <col min="25" max="25" width="10" style="11" bestFit="1" customWidth="1"/>
    <col min="26" max="26" width="12" style="11" bestFit="1" customWidth="1"/>
    <col min="27" max="27" width="22.5" style="11" bestFit="1" customWidth="1"/>
    <col min="28" max="28" width="19.33203125" style="11" bestFit="1" customWidth="1"/>
    <col min="29" max="29" width="13.1640625" style="11" bestFit="1" customWidth="1"/>
    <col min="30" max="30" width="18.83203125" style="11" bestFit="1" customWidth="1"/>
    <col min="31" max="31" width="12.6640625" style="11" bestFit="1" customWidth="1"/>
    <col min="32" max="32" width="18.83203125" style="11" bestFit="1" customWidth="1"/>
    <col min="33" max="16384" width="8.83203125" style="11"/>
  </cols>
  <sheetData>
    <row r="1" spans="1:31" x14ac:dyDescent="0.2">
      <c r="A1" s="190" t="s">
        <v>349</v>
      </c>
      <c r="B1" s="191"/>
      <c r="C1" s="191"/>
      <c r="D1" s="191"/>
      <c r="E1" s="191"/>
    </row>
    <row r="3" spans="1:31" x14ac:dyDescent="0.2">
      <c r="A3" s="10" t="s">
        <v>291</v>
      </c>
    </row>
    <row r="4" spans="1:31" x14ac:dyDescent="0.2">
      <c r="B4" s="5" t="s">
        <v>216</v>
      </c>
      <c r="C4" s="51" t="s">
        <v>92</v>
      </c>
    </row>
    <row r="5" spans="1:31" x14ac:dyDescent="0.2">
      <c r="B5" s="5" t="s">
        <v>216</v>
      </c>
      <c r="C5" s="51" t="s">
        <v>91</v>
      </c>
    </row>
    <row r="7" spans="1:31" x14ac:dyDescent="0.2">
      <c r="A7" s="195" t="s">
        <v>350</v>
      </c>
      <c r="B7" s="51"/>
    </row>
    <row r="8" spans="1:31" x14ac:dyDescent="0.2">
      <c r="A8" s="195"/>
      <c r="B8" s="51"/>
    </row>
    <row r="10" spans="1:31" ht="16" thickBot="1" x14ac:dyDescent="0.25">
      <c r="A10" s="10" t="s">
        <v>84</v>
      </c>
      <c r="J10" s="10" t="s">
        <v>88</v>
      </c>
    </row>
    <row r="11" spans="1:31" x14ac:dyDescent="0.2">
      <c r="A11" s="43" t="s">
        <v>293</v>
      </c>
      <c r="B11" s="43" t="s">
        <v>80</v>
      </c>
      <c r="C11" s="33" t="s">
        <v>81</v>
      </c>
      <c r="D11" s="34" t="s">
        <v>295</v>
      </c>
      <c r="E11" s="192" t="s">
        <v>381</v>
      </c>
      <c r="P11" s="198" t="s">
        <v>311</v>
      </c>
      <c r="S11" s="198" t="s">
        <v>82</v>
      </c>
      <c r="T11" s="5"/>
      <c r="V11" s="198" t="s">
        <v>90</v>
      </c>
      <c r="W11" s="5"/>
      <c r="X11" s="5"/>
      <c r="Y11" s="5"/>
      <c r="Z11" s="5"/>
      <c r="AA11" s="5"/>
      <c r="AB11" s="5"/>
    </row>
    <row r="12" spans="1:31" ht="18" thickBot="1" x14ac:dyDescent="0.25">
      <c r="A12" s="61" t="s">
        <v>79</v>
      </c>
      <c r="B12" s="61" t="s">
        <v>76</v>
      </c>
      <c r="C12" s="53" t="s">
        <v>76</v>
      </c>
      <c r="D12" s="55" t="s">
        <v>294</v>
      </c>
      <c r="E12" s="203" t="s">
        <v>382</v>
      </c>
      <c r="G12" s="108" t="s">
        <v>87</v>
      </c>
      <c r="H12" s="50"/>
      <c r="J12" s="198" t="s">
        <v>310</v>
      </c>
      <c r="S12" s="197"/>
      <c r="T12" s="5"/>
      <c r="V12" s="36"/>
      <c r="W12" s="5"/>
      <c r="X12" s="36"/>
      <c r="Y12" s="36"/>
      <c r="Z12" s="5"/>
      <c r="AA12" s="36"/>
      <c r="AB12" s="36"/>
    </row>
    <row r="13" spans="1:31" ht="18" x14ac:dyDescent="0.25">
      <c r="A13" s="62">
        <v>0</v>
      </c>
      <c r="B13" s="249">
        <v>14.572900000000001</v>
      </c>
      <c r="C13" s="168">
        <v>0.46739999999999998</v>
      </c>
      <c r="D13" s="56">
        <v>170000000</v>
      </c>
      <c r="E13" s="234">
        <f>H15+K16</f>
        <v>1.35</v>
      </c>
      <c r="G13" s="200" t="s">
        <v>86</v>
      </c>
      <c r="H13" s="229">
        <v>0.42259999999999998</v>
      </c>
      <c r="J13" s="196" t="s">
        <v>298</v>
      </c>
      <c r="K13" s="110"/>
      <c r="L13" s="110"/>
      <c r="M13" s="196" t="s">
        <v>306</v>
      </c>
      <c r="N13" s="199"/>
      <c r="P13" s="196" t="s">
        <v>89</v>
      </c>
      <c r="Q13" s="110"/>
      <c r="S13" s="196" t="s">
        <v>348</v>
      </c>
      <c r="T13" s="226">
        <f>Q18/N24</f>
        <v>0.79182425013067537</v>
      </c>
      <c r="V13" s="192" t="s">
        <v>315</v>
      </c>
      <c r="W13" s="33" t="s">
        <v>321</v>
      </c>
      <c r="X13" s="33" t="s">
        <v>80</v>
      </c>
      <c r="Y13" s="33" t="s">
        <v>317</v>
      </c>
      <c r="Z13" s="34" t="s">
        <v>81</v>
      </c>
      <c r="AA13" s="205" t="s">
        <v>217</v>
      </c>
      <c r="AB13" s="206" t="s">
        <v>83</v>
      </c>
      <c r="AC13" s="33" t="s">
        <v>392</v>
      </c>
      <c r="AD13" s="34" t="s">
        <v>396</v>
      </c>
      <c r="AE13" s="283"/>
    </row>
    <row r="14" spans="1:31" ht="18" thickBot="1" x14ac:dyDescent="0.3">
      <c r="A14" s="32">
        <v>3</v>
      </c>
      <c r="B14" s="245">
        <v>19.248899999999999</v>
      </c>
      <c r="C14" s="169">
        <v>3.2130000000000001</v>
      </c>
      <c r="D14" s="48">
        <v>34000000</v>
      </c>
      <c r="E14" s="235">
        <f t="shared" ref="E14:E23" si="0">E13-$H$20</f>
        <v>1.3284</v>
      </c>
      <c r="G14" s="200" t="s">
        <v>304</v>
      </c>
      <c r="H14" s="229">
        <v>354.94557501183152</v>
      </c>
      <c r="J14" s="199"/>
      <c r="K14" s="199"/>
      <c r="L14" s="199"/>
      <c r="M14" s="199"/>
      <c r="N14" s="199"/>
      <c r="P14" s="110"/>
      <c r="Q14" s="110"/>
      <c r="S14" s="196" t="s">
        <v>374</v>
      </c>
      <c r="T14" s="226">
        <f>Q18/N22</f>
        <v>0.82851849060277816</v>
      </c>
      <c r="V14" s="203" t="s">
        <v>79</v>
      </c>
      <c r="W14" s="53" t="s">
        <v>316</v>
      </c>
      <c r="X14" s="53" t="s">
        <v>78</v>
      </c>
      <c r="Y14" s="53" t="s">
        <v>318</v>
      </c>
      <c r="Z14" s="55" t="s">
        <v>319</v>
      </c>
      <c r="AA14" s="207" t="s">
        <v>323</v>
      </c>
      <c r="AB14" s="208" t="s">
        <v>322</v>
      </c>
      <c r="AC14" s="53"/>
      <c r="AD14" s="55"/>
      <c r="AE14" s="283"/>
    </row>
    <row r="15" spans="1:31" ht="18" x14ac:dyDescent="0.25">
      <c r="A15" s="32">
        <v>6</v>
      </c>
      <c r="B15" s="245">
        <v>16.5504</v>
      </c>
      <c r="C15" s="169">
        <v>8.9898009999999999</v>
      </c>
      <c r="D15" s="48">
        <v>166000000</v>
      </c>
      <c r="E15" s="235">
        <f t="shared" si="0"/>
        <v>1.3068</v>
      </c>
      <c r="G15" s="109" t="s">
        <v>305</v>
      </c>
      <c r="H15" s="229">
        <f>(1500-H14)/1000</f>
        <v>1.1450544249881685</v>
      </c>
      <c r="J15" s="109" t="s">
        <v>302</v>
      </c>
      <c r="K15" s="199">
        <v>6.8</v>
      </c>
      <c r="L15" s="110"/>
      <c r="M15" s="200" t="s">
        <v>307</v>
      </c>
      <c r="N15" s="230">
        <f>B23*(E23)</f>
        <v>2.7556199999999986E-2</v>
      </c>
      <c r="P15" s="109" t="s">
        <v>312</v>
      </c>
      <c r="Q15" s="229">
        <f>C13*(E13)</f>
        <v>0.63099000000000005</v>
      </c>
      <c r="S15" s="196" t="s">
        <v>375</v>
      </c>
      <c r="T15" s="226">
        <f>Q18/(H13*H14)</f>
        <v>0.2492300665439999</v>
      </c>
      <c r="V15" s="30">
        <f t="shared" ref="V15:V24" si="1">A13</f>
        <v>0</v>
      </c>
      <c r="W15" s="168">
        <v>1.35</v>
      </c>
      <c r="X15" s="168">
        <f t="shared" ref="X15:X24" si="2">B13*W15</f>
        <v>19.673415000000002</v>
      </c>
      <c r="Y15" s="210">
        <f>D13*X26</f>
        <v>255000000000</v>
      </c>
      <c r="Z15" s="239">
        <f t="shared" ref="Z15:Z24" si="3">C13*W15</f>
        <v>0.63099000000000005</v>
      </c>
      <c r="AA15" s="62"/>
      <c r="AB15" s="38"/>
      <c r="AC15" s="286">
        <f>LN(Z15)</f>
        <v>-0.46046526442704133</v>
      </c>
      <c r="AD15" s="287">
        <f t="shared" ref="AD15:AD24" si="4">AVERAGE(AC15,AC45)</f>
        <v>-0.62105792178919494</v>
      </c>
    </row>
    <row r="16" spans="1:31" ht="18" x14ac:dyDescent="0.25">
      <c r="A16" s="32">
        <v>9</v>
      </c>
      <c r="B16" s="245">
        <v>12.4916</v>
      </c>
      <c r="C16" s="169">
        <v>15.086</v>
      </c>
      <c r="D16" s="48">
        <v>274000000</v>
      </c>
      <c r="E16" s="235">
        <f t="shared" si="0"/>
        <v>1.2851999999999999</v>
      </c>
      <c r="F16" s="5"/>
      <c r="G16" s="108" t="s">
        <v>94</v>
      </c>
      <c r="H16" s="50">
        <f>H14+H15*1000</f>
        <v>1500</v>
      </c>
      <c r="J16" s="109" t="s">
        <v>301</v>
      </c>
      <c r="K16" s="229">
        <f>(1-H13)*H14/1000</f>
        <v>0.20494557501183153</v>
      </c>
      <c r="L16" s="110"/>
      <c r="M16" s="110"/>
      <c r="N16" s="229"/>
      <c r="P16" s="109" t="s">
        <v>313</v>
      </c>
      <c r="Q16" s="229">
        <f>C23*(E23)</f>
        <v>34.029865799999982</v>
      </c>
      <c r="V16" s="46">
        <f t="shared" si="1"/>
        <v>3</v>
      </c>
      <c r="W16" s="169">
        <v>1.3284</v>
      </c>
      <c r="X16" s="169">
        <f t="shared" si="2"/>
        <v>25.570238759999999</v>
      </c>
      <c r="Y16" s="54">
        <f>D14*(X26-COUNT($V$15:V15)*0.024*1000)</f>
        <v>50184000000</v>
      </c>
      <c r="Z16" s="240">
        <f t="shared" si="3"/>
        <v>4.2681491999999999</v>
      </c>
      <c r="AA16" s="243">
        <f t="shared" ref="AA16:AA23" si="5">((A14-A13)/(A15-A13)*(C15-C14)/(A15-A14))+((C14-C13)/(A14-A13)*(A15-A14)/(A15-A13))</f>
        <v>1.4204001666666666</v>
      </c>
      <c r="AB16" s="284">
        <f>(AA16*0.9/1000)/D14</f>
        <v>3.7598827941176466E-11</v>
      </c>
      <c r="AC16" s="288">
        <f t="shared" ref="AC16:AC24" si="6">LN(Z16)</f>
        <v>1.4511802906541758</v>
      </c>
      <c r="AD16" s="289">
        <f t="shared" si="4"/>
        <v>1.3818872090111025</v>
      </c>
    </row>
    <row r="17" spans="1:30" x14ac:dyDescent="0.2">
      <c r="A17" s="32">
        <v>12</v>
      </c>
      <c r="B17" s="245">
        <v>8.8841000000000001</v>
      </c>
      <c r="C17" s="169">
        <v>19.7485</v>
      </c>
      <c r="D17" s="48">
        <v>400000000</v>
      </c>
      <c r="E17" s="235">
        <f t="shared" si="0"/>
        <v>1.2635999999999998</v>
      </c>
      <c r="F17" s="5"/>
      <c r="J17" s="199"/>
      <c r="K17" s="199"/>
      <c r="L17" s="110"/>
      <c r="M17" s="110"/>
      <c r="N17" s="250"/>
      <c r="P17" s="110"/>
      <c r="Q17" s="307"/>
      <c r="R17" s="5"/>
      <c r="T17" s="36"/>
      <c r="U17" s="5"/>
      <c r="V17" s="46">
        <f t="shared" si="1"/>
        <v>6</v>
      </c>
      <c r="W17" s="169">
        <v>1.3068</v>
      </c>
      <c r="X17" s="169">
        <f t="shared" si="2"/>
        <v>21.628062719999999</v>
      </c>
      <c r="Y17" s="54">
        <f>D15*(X26-COUNT($V$15:V16)*0.024*1000)</f>
        <v>241032000000</v>
      </c>
      <c r="Z17" s="240">
        <f t="shared" si="3"/>
        <v>11.7478719468</v>
      </c>
      <c r="AA17" s="243">
        <f t="shared" si="5"/>
        <v>1.9788333333333332</v>
      </c>
      <c r="AB17" s="284">
        <f t="shared" ref="AB17:AB22" si="7">(AA17*0.9/1000)/D15</f>
        <v>1.0728614457831326E-11</v>
      </c>
      <c r="AC17" s="288">
        <f t="shared" si="6"/>
        <v>2.4636721132769681</v>
      </c>
      <c r="AD17" s="289">
        <f t="shared" si="4"/>
        <v>2.4599988952960161</v>
      </c>
    </row>
    <row r="18" spans="1:30" ht="18" x14ac:dyDescent="0.25">
      <c r="A18" s="32">
        <v>15</v>
      </c>
      <c r="B18" s="245">
        <v>5.7617000000000003</v>
      </c>
      <c r="C18" s="169">
        <v>23.244599999999998</v>
      </c>
      <c r="D18" s="48">
        <v>590000000</v>
      </c>
      <c r="E18" s="235">
        <f t="shared" si="0"/>
        <v>1.2419999999999998</v>
      </c>
      <c r="F18" s="36"/>
      <c r="G18" s="108" t="s">
        <v>309</v>
      </c>
      <c r="H18" s="50"/>
      <c r="I18" s="5"/>
      <c r="J18" s="109" t="s">
        <v>303</v>
      </c>
      <c r="K18" s="229">
        <f>(10*243.364/1000+K15*K16)/(E13)</f>
        <v>2.8350147482077439</v>
      </c>
      <c r="L18" s="110"/>
      <c r="M18" s="196" t="s">
        <v>327</v>
      </c>
      <c r="N18" s="250"/>
      <c r="P18" s="196" t="s">
        <v>314</v>
      </c>
      <c r="Q18" s="233">
        <f>Q16-Q15+H22</f>
        <v>37.384509981599983</v>
      </c>
      <c r="R18" s="5"/>
      <c r="T18" s="36"/>
      <c r="U18" s="5"/>
      <c r="V18" s="46">
        <f t="shared" si="1"/>
        <v>9</v>
      </c>
      <c r="W18" s="169">
        <v>1.2851999999999999</v>
      </c>
      <c r="X18" s="169">
        <f t="shared" si="2"/>
        <v>16.05420432</v>
      </c>
      <c r="Y18" s="54">
        <f>D16*(X26-COUNT($V$15:V17)*0.024*1000)</f>
        <v>391272000000</v>
      </c>
      <c r="Z18" s="240">
        <f t="shared" si="3"/>
        <v>19.388527199999999</v>
      </c>
      <c r="AA18" s="243">
        <f t="shared" si="5"/>
        <v>1.7931165</v>
      </c>
      <c r="AB18" s="284">
        <f t="shared" si="7"/>
        <v>5.8897987226277376E-12</v>
      </c>
      <c r="AC18" s="288">
        <f t="shared" si="6"/>
        <v>2.9646815096910055</v>
      </c>
      <c r="AD18" s="289">
        <f t="shared" si="4"/>
        <v>2.9738798211246835</v>
      </c>
    </row>
    <row r="19" spans="1:30" ht="17" x14ac:dyDescent="0.25">
      <c r="A19" s="32">
        <v>21</v>
      </c>
      <c r="B19" s="245">
        <v>1.4167000000000001</v>
      </c>
      <c r="C19" s="169">
        <v>26.007100000000001</v>
      </c>
      <c r="D19" s="48">
        <v>360000000</v>
      </c>
      <c r="E19" s="235">
        <f t="shared" si="0"/>
        <v>1.2203999999999997</v>
      </c>
      <c r="F19" s="36"/>
      <c r="G19" s="199" t="s">
        <v>95</v>
      </c>
      <c r="H19" s="199">
        <f>COUNT(B13:B22)</f>
        <v>10</v>
      </c>
      <c r="I19" s="5"/>
      <c r="J19" s="109" t="s">
        <v>300</v>
      </c>
      <c r="K19" s="230">
        <f>10*243.364/1000+K15*K16</f>
        <v>3.8272699100804544</v>
      </c>
      <c r="L19" s="110"/>
      <c r="M19" s="110"/>
      <c r="N19" s="229"/>
      <c r="P19" s="5"/>
      <c r="Q19" s="5"/>
      <c r="R19" s="5"/>
      <c r="T19" s="5"/>
      <c r="U19" s="5"/>
      <c r="V19" s="46">
        <f t="shared" si="1"/>
        <v>12</v>
      </c>
      <c r="W19" s="169">
        <v>1.2635999999999998</v>
      </c>
      <c r="X19" s="169">
        <f t="shared" si="2"/>
        <v>11.225948759999998</v>
      </c>
      <c r="Y19" s="54">
        <f>D17*(X26-COUNT($V$15:V18)*0.024*1000)</f>
        <v>561600000000</v>
      </c>
      <c r="Z19" s="240">
        <f t="shared" si="3"/>
        <v>24.954204599999997</v>
      </c>
      <c r="AA19" s="243">
        <f t="shared" si="5"/>
        <v>1.3597666666666663</v>
      </c>
      <c r="AB19" s="284">
        <f t="shared" si="7"/>
        <v>3.0594749999999993E-12</v>
      </c>
      <c r="AC19" s="288">
        <f t="shared" si="6"/>
        <v>3.217042329041536</v>
      </c>
      <c r="AD19" s="289">
        <f t="shared" si="4"/>
        <v>3.2501779929891668</v>
      </c>
    </row>
    <row r="20" spans="1:30" ht="17" x14ac:dyDescent="0.2">
      <c r="A20" s="264">
        <v>24</v>
      </c>
      <c r="B20" s="252">
        <v>0.17230000000000001</v>
      </c>
      <c r="C20" s="253">
        <v>29.109200000000001</v>
      </c>
      <c r="D20" s="258">
        <v>210000000</v>
      </c>
      <c r="E20" s="259">
        <f t="shared" si="0"/>
        <v>1.1987999999999996</v>
      </c>
      <c r="F20" s="36"/>
      <c r="G20" s="199" t="s">
        <v>96</v>
      </c>
      <c r="H20" s="199">
        <f>0.9*0.024</f>
        <v>2.1600000000000001E-2</v>
      </c>
      <c r="I20" s="36"/>
      <c r="J20" s="110"/>
      <c r="K20" s="110"/>
      <c r="L20" s="110"/>
      <c r="M20" s="200" t="s">
        <v>328</v>
      </c>
      <c r="N20" s="229">
        <f>AVERAGE('4 Amount of released glucose'!D10:D18)*'11 50% adapt. X=10mg'!H13*'11 50% adapt. X=10mg'!H14</f>
        <v>87.296317767830757</v>
      </c>
      <c r="P20" s="5"/>
      <c r="Q20" s="197"/>
      <c r="R20" s="5"/>
      <c r="T20" s="36"/>
      <c r="U20" s="197"/>
      <c r="V20" s="46">
        <f t="shared" si="1"/>
        <v>15</v>
      </c>
      <c r="W20" s="169">
        <v>1.2419999999999998</v>
      </c>
      <c r="X20" s="169">
        <f t="shared" si="2"/>
        <v>7.1560313999999989</v>
      </c>
      <c r="Y20" s="54">
        <f>D18*(X26-COUNT($V$15:V19)*0.024*1000)</f>
        <v>814200000000</v>
      </c>
      <c r="Z20" s="240">
        <f t="shared" si="3"/>
        <v>28.869793199999993</v>
      </c>
      <c r="AA20" s="243">
        <f t="shared" si="5"/>
        <v>0.93038333333333312</v>
      </c>
      <c r="AB20" s="284">
        <f t="shared" si="7"/>
        <v>1.4192288135593216E-12</v>
      </c>
      <c r="AC20" s="288">
        <f t="shared" si="6"/>
        <v>3.3627958305040546</v>
      </c>
      <c r="AD20" s="289">
        <f t="shared" si="4"/>
        <v>3.3950602512156483</v>
      </c>
    </row>
    <row r="21" spans="1:30" ht="17" x14ac:dyDescent="0.25">
      <c r="A21" s="32">
        <v>27</v>
      </c>
      <c r="B21" s="245">
        <v>0</v>
      </c>
      <c r="C21" s="169">
        <v>29.346399999999999</v>
      </c>
      <c r="D21" s="48">
        <f>AVERAGE(24,24)/10^(-6)/0.1</f>
        <v>240000000</v>
      </c>
      <c r="E21" s="235">
        <f t="shared" si="0"/>
        <v>1.1771999999999996</v>
      </c>
      <c r="G21" s="200" t="s">
        <v>97</v>
      </c>
      <c r="H21" s="230">
        <f>H20*(SUM(B13:B22))</f>
        <v>1.70869176</v>
      </c>
      <c r="I21" s="5"/>
      <c r="J21" s="110"/>
      <c r="K21" s="110"/>
      <c r="L21" s="110"/>
      <c r="M21" s="200" t="s">
        <v>329</v>
      </c>
      <c r="N21" s="229">
        <f>AVERAGE('4 Amount of released glucose'!D91:D99)*'11 50% adapt. X=10mg'!H13*'11 50% adapt. X=10mg'!H14</f>
        <v>42.174198701542501</v>
      </c>
      <c r="P21" s="36"/>
      <c r="Q21" s="36"/>
      <c r="R21" s="5"/>
      <c r="T21" s="36"/>
      <c r="U21" s="36"/>
      <c r="V21" s="46">
        <f t="shared" si="1"/>
        <v>21</v>
      </c>
      <c r="W21" s="169">
        <v>1.2203999999999997</v>
      </c>
      <c r="X21" s="169">
        <f t="shared" si="2"/>
        <v>1.7289406799999996</v>
      </c>
      <c r="Y21" s="54">
        <f>D19*(X26-COUNT($V$15:V20)*0.024*1000)</f>
        <v>488160000000</v>
      </c>
      <c r="Z21" s="240">
        <f t="shared" si="3"/>
        <v>31.739064839999994</v>
      </c>
      <c r="AA21" s="243">
        <f t="shared" si="5"/>
        <v>0.84282777777777795</v>
      </c>
      <c r="AB21" s="284">
        <f t="shared" si="7"/>
        <v>2.1070694444444449E-12</v>
      </c>
      <c r="AC21" s="288">
        <f t="shared" si="6"/>
        <v>3.4575482515262199</v>
      </c>
      <c r="AD21" s="289">
        <f t="shared" si="4"/>
        <v>3.4907339692719832</v>
      </c>
    </row>
    <row r="22" spans="1:30" x14ac:dyDescent="0.2">
      <c r="A22" s="32">
        <v>30</v>
      </c>
      <c r="B22" s="245">
        <v>7.4999999999999997E-3</v>
      </c>
      <c r="C22" s="169">
        <v>29.3081</v>
      </c>
      <c r="D22" s="48">
        <f>AVERAGE(283,283)/10^(-5)/0.1</f>
        <v>282999999.99999994</v>
      </c>
      <c r="E22" s="235">
        <f t="shared" si="0"/>
        <v>1.1555999999999995</v>
      </c>
      <c r="G22" s="200" t="s">
        <v>98</v>
      </c>
      <c r="H22" s="230">
        <f>H20*(SUM(C13:C22))</f>
        <v>3.9856341816000005</v>
      </c>
      <c r="I22" s="5"/>
      <c r="J22" s="110"/>
      <c r="K22" s="110"/>
      <c r="L22" s="110"/>
      <c r="M22" s="200" t="s">
        <v>330</v>
      </c>
      <c r="N22" s="230">
        <f>N20-N21</f>
        <v>45.122119066288256</v>
      </c>
      <c r="P22" s="5"/>
      <c r="Q22" s="5"/>
      <c r="R22" s="5"/>
      <c r="T22" s="5"/>
      <c r="U22" s="5"/>
      <c r="V22" s="251">
        <f t="shared" si="1"/>
        <v>24</v>
      </c>
      <c r="W22" s="253">
        <v>1.1987999999999996</v>
      </c>
      <c r="X22" s="253">
        <f t="shared" si="2"/>
        <v>0.20655323999999994</v>
      </c>
      <c r="Y22" s="254">
        <f>D20*(X26-COUNT($V$15:V21)*0.024*1000)</f>
        <v>279720000000</v>
      </c>
      <c r="Z22" s="255">
        <f t="shared" si="3"/>
        <v>34.896108959999992</v>
      </c>
      <c r="AA22" s="256">
        <f t="shared" si="5"/>
        <v>0.55654999999999966</v>
      </c>
      <c r="AB22" s="254">
        <f t="shared" si="7"/>
        <v>2.3852142857142848E-12</v>
      </c>
      <c r="AC22" s="295">
        <f t="shared" si="6"/>
        <v>3.552375331875306</v>
      </c>
      <c r="AD22" s="296">
        <f t="shared" si="4"/>
        <v>3.5434676299541286</v>
      </c>
    </row>
    <row r="23" spans="1:30" ht="16" thickBot="1" x14ac:dyDescent="0.25">
      <c r="A23" s="42">
        <v>33</v>
      </c>
      <c r="B23" s="246">
        <v>2.4299999999999999E-2</v>
      </c>
      <c r="C23" s="238">
        <v>30.008700000000001</v>
      </c>
      <c r="D23" s="9"/>
      <c r="E23" s="236">
        <f t="shared" si="0"/>
        <v>1.1339999999999995</v>
      </c>
      <c r="H23" s="36"/>
      <c r="I23" s="5"/>
      <c r="J23" s="110"/>
      <c r="K23" s="110"/>
      <c r="L23" s="110"/>
      <c r="M23" s="110"/>
      <c r="N23" s="229"/>
      <c r="P23" s="5"/>
      <c r="Q23" s="5"/>
      <c r="R23" s="5"/>
      <c r="T23" s="5"/>
      <c r="U23" s="5"/>
      <c r="V23" s="46">
        <f t="shared" si="1"/>
        <v>27</v>
      </c>
      <c r="W23" s="169">
        <v>1.1771999999999996</v>
      </c>
      <c r="X23" s="169">
        <f t="shared" si="2"/>
        <v>0</v>
      </c>
      <c r="Y23" s="54"/>
      <c r="Z23" s="240">
        <f t="shared" si="3"/>
        <v>34.546582079999986</v>
      </c>
      <c r="AA23" s="243">
        <f t="shared" si="5"/>
        <v>3.3149999999999714E-2</v>
      </c>
      <c r="AB23" s="284">
        <f>(AA23*0.9/1000)/D21</f>
        <v>1.2431249999999892E-13</v>
      </c>
      <c r="AC23" s="288">
        <f t="shared" si="6"/>
        <v>3.5423086185473096</v>
      </c>
      <c r="AD23" s="289">
        <f t="shared" si="4"/>
        <v>3.5444253458697492</v>
      </c>
    </row>
    <row r="24" spans="1:30" ht="16" thickBot="1" x14ac:dyDescent="0.25">
      <c r="J24" s="110"/>
      <c r="K24" s="110"/>
      <c r="L24" s="110"/>
      <c r="M24" s="196" t="s">
        <v>347</v>
      </c>
      <c r="N24" s="233">
        <f>N22+K19-N15-H21</f>
        <v>47.213141016368709</v>
      </c>
      <c r="P24" s="5"/>
      <c r="Q24" s="5"/>
      <c r="R24" s="5"/>
      <c r="T24" s="5"/>
      <c r="U24" s="5"/>
      <c r="V24" s="31">
        <f t="shared" si="1"/>
        <v>30</v>
      </c>
      <c r="W24" s="238">
        <v>1.1555999999999995</v>
      </c>
      <c r="X24" s="238">
        <f t="shared" si="2"/>
        <v>8.6669999999999959E-3</v>
      </c>
      <c r="Y24" s="65"/>
      <c r="Z24" s="242">
        <f t="shared" si="3"/>
        <v>33.868440359999987</v>
      </c>
      <c r="AA24" s="209"/>
      <c r="AB24" s="277"/>
      <c r="AC24" s="290">
        <f t="shared" si="6"/>
        <v>3.5224836179395083</v>
      </c>
      <c r="AD24" s="291">
        <f t="shared" si="4"/>
        <v>3.5066846028426939</v>
      </c>
    </row>
    <row r="25" spans="1:30" ht="18" thickBot="1" x14ac:dyDescent="0.25">
      <c r="A25" s="11" t="s">
        <v>296</v>
      </c>
      <c r="J25" s="36"/>
      <c r="K25" s="5"/>
      <c r="L25" s="5"/>
      <c r="M25" s="5"/>
      <c r="P25" s="36"/>
      <c r="Q25" s="5"/>
      <c r="R25" s="5"/>
      <c r="AA25" s="205"/>
      <c r="AB25" s="206"/>
      <c r="AC25" s="5"/>
    </row>
    <row r="26" spans="1:30" ht="18" thickBot="1" x14ac:dyDescent="0.25">
      <c r="A26" s="49" t="s">
        <v>297</v>
      </c>
      <c r="H26" s="36"/>
      <c r="I26" s="5"/>
      <c r="J26" s="197"/>
      <c r="K26" s="5"/>
      <c r="L26" s="5"/>
      <c r="M26" s="5"/>
      <c r="P26" s="36"/>
      <c r="Q26" s="36"/>
      <c r="R26" s="5"/>
      <c r="T26" s="36"/>
      <c r="U26" s="5"/>
      <c r="V26" s="44" t="s">
        <v>94</v>
      </c>
      <c r="W26" s="59"/>
      <c r="X26" s="60">
        <f>H15*1000+H14</f>
        <v>1500</v>
      </c>
      <c r="Z26" s="10" t="s">
        <v>93</v>
      </c>
      <c r="AA26" s="301">
        <f>MAX(AA16:AA21)</f>
        <v>1.9788333333333332</v>
      </c>
      <c r="AB26" s="302">
        <f>MAX(AB16:AB21)</f>
        <v>3.7598827941176466E-11</v>
      </c>
      <c r="AC26" s="5"/>
    </row>
    <row r="27" spans="1:30" ht="18" thickBot="1" x14ac:dyDescent="0.25">
      <c r="A27" s="49" t="s">
        <v>299</v>
      </c>
      <c r="H27" s="5"/>
      <c r="I27" s="5"/>
      <c r="J27" s="36"/>
      <c r="K27" s="36"/>
      <c r="L27" s="36"/>
      <c r="M27" s="5"/>
      <c r="P27" s="5"/>
      <c r="Q27" s="5"/>
      <c r="R27" s="5"/>
      <c r="T27" s="5"/>
      <c r="U27" s="5"/>
      <c r="Z27" s="10" t="s">
        <v>99</v>
      </c>
      <c r="AA27" s="303">
        <f>(C20-C13)/A20</f>
        <v>1.1934083333333334</v>
      </c>
      <c r="AB27" s="304">
        <f>AVERAGE(AB16:AB21)</f>
        <v>1.0133835729939882E-11</v>
      </c>
      <c r="AC27" s="5"/>
    </row>
    <row r="28" spans="1:30" ht="17" x14ac:dyDescent="0.2">
      <c r="A28" s="49" t="s">
        <v>385</v>
      </c>
      <c r="D28" s="222"/>
      <c r="H28" s="36"/>
      <c r="I28" s="5"/>
      <c r="J28" s="5"/>
      <c r="K28" s="5"/>
      <c r="L28" s="5"/>
      <c r="M28" s="5"/>
      <c r="P28" s="5"/>
      <c r="Q28" s="5"/>
      <c r="R28" s="5"/>
      <c r="T28" s="5"/>
      <c r="U28" s="5"/>
      <c r="V28" s="5"/>
      <c r="Z28" s="5"/>
      <c r="AA28" s="39"/>
      <c r="AB28" s="5"/>
      <c r="AC28" s="5"/>
    </row>
    <row r="29" spans="1:30" ht="17" x14ac:dyDescent="0.2">
      <c r="A29" s="49" t="s">
        <v>308</v>
      </c>
      <c r="H29" s="36"/>
      <c r="I29" s="5"/>
      <c r="J29" s="36"/>
      <c r="K29" s="5"/>
      <c r="L29" s="5"/>
      <c r="M29" s="5"/>
      <c r="P29" s="36"/>
      <c r="Q29" s="197"/>
      <c r="R29" s="5"/>
      <c r="T29" s="36"/>
      <c r="U29" s="36"/>
      <c r="V29" s="5"/>
      <c r="Z29" s="5"/>
      <c r="AA29" s="5"/>
      <c r="AB29" s="5"/>
      <c r="AC29" s="5"/>
    </row>
    <row r="30" spans="1:30" ht="17" x14ac:dyDescent="0.2">
      <c r="A30" s="49" t="s">
        <v>320</v>
      </c>
      <c r="H30" s="5"/>
      <c r="I30" s="5"/>
      <c r="J30" s="36"/>
      <c r="K30" s="5"/>
      <c r="L30" s="5"/>
      <c r="M30" s="5"/>
      <c r="P30" s="36"/>
      <c r="Q30" s="36"/>
      <c r="R30" s="5"/>
      <c r="T30" s="36"/>
      <c r="U30" s="36"/>
      <c r="V30" s="5"/>
    </row>
    <row r="31" spans="1:30" x14ac:dyDescent="0.2">
      <c r="H31" s="5"/>
      <c r="I31" s="5"/>
      <c r="J31" s="5"/>
      <c r="K31" s="5"/>
      <c r="L31" s="5"/>
      <c r="M31" s="5"/>
      <c r="P31" s="5"/>
      <c r="Q31" s="5"/>
      <c r="R31" s="5"/>
    </row>
    <row r="32" spans="1:30" x14ac:dyDescent="0.2">
      <c r="H32" s="36"/>
      <c r="I32" s="36"/>
      <c r="J32" s="36"/>
      <c r="K32" s="5"/>
      <c r="L32" s="5"/>
      <c r="M32" s="5"/>
      <c r="P32" s="5"/>
      <c r="Q32" s="5"/>
      <c r="R32" s="5"/>
    </row>
    <row r="33" spans="1:31" x14ac:dyDescent="0.2">
      <c r="H33" s="36"/>
      <c r="I33" s="36"/>
      <c r="J33" s="5"/>
      <c r="K33" s="36"/>
      <c r="L33" s="36"/>
      <c r="M33" s="5"/>
      <c r="T33" s="225"/>
      <c r="U33" s="225"/>
      <c r="W33" s="225"/>
      <c r="AA33" s="313"/>
      <c r="AB33" s="313"/>
      <c r="AC33" s="283"/>
    </row>
    <row r="34" spans="1:31" x14ac:dyDescent="0.2">
      <c r="H34" s="5"/>
      <c r="I34" s="5"/>
      <c r="J34" s="5"/>
      <c r="K34" s="5"/>
      <c r="L34" s="5"/>
      <c r="M34" s="5"/>
      <c r="T34" s="221"/>
      <c r="U34" s="221"/>
      <c r="AA34" s="221"/>
      <c r="AB34" s="223"/>
      <c r="AC34" s="223"/>
    </row>
    <row r="35" spans="1:31" x14ac:dyDescent="0.2">
      <c r="AA35" s="221"/>
      <c r="AB35" s="222"/>
      <c r="AC35" s="223"/>
    </row>
    <row r="36" spans="1:31" x14ac:dyDescent="0.2">
      <c r="B36" s="10"/>
      <c r="L36" s="10"/>
    </row>
    <row r="37" spans="1:31" x14ac:dyDescent="0.2">
      <c r="A37" s="195" t="s">
        <v>355</v>
      </c>
    </row>
    <row r="38" spans="1:31" ht="17" x14ac:dyDescent="0.2">
      <c r="L38" s="49"/>
    </row>
    <row r="39" spans="1:31" ht="17" x14ac:dyDescent="0.2">
      <c r="L39" s="49"/>
    </row>
    <row r="40" spans="1:31" ht="22" thickBot="1" x14ac:dyDescent="0.3">
      <c r="A40" s="10" t="s">
        <v>84</v>
      </c>
      <c r="J40" s="10" t="s">
        <v>88</v>
      </c>
      <c r="L40" s="49"/>
      <c r="AE40" s="57"/>
    </row>
    <row r="41" spans="1:31" ht="21" x14ac:dyDescent="0.25">
      <c r="A41" s="43" t="s">
        <v>293</v>
      </c>
      <c r="B41" s="43" t="s">
        <v>80</v>
      </c>
      <c r="C41" s="33" t="s">
        <v>81</v>
      </c>
      <c r="D41" s="34" t="s">
        <v>295</v>
      </c>
      <c r="E41" s="192" t="s">
        <v>381</v>
      </c>
      <c r="L41" s="49"/>
      <c r="P41" s="198" t="s">
        <v>311</v>
      </c>
      <c r="S41" s="198" t="s">
        <v>82</v>
      </c>
      <c r="V41" s="198" t="s">
        <v>90</v>
      </c>
      <c r="W41" s="5"/>
      <c r="X41" s="5"/>
      <c r="Y41" s="5"/>
      <c r="Z41" s="5"/>
      <c r="AA41" s="5"/>
      <c r="AB41" s="5"/>
      <c r="AE41" s="57"/>
    </row>
    <row r="42" spans="1:31" ht="18" thickBot="1" x14ac:dyDescent="0.25">
      <c r="A42" s="61" t="s">
        <v>79</v>
      </c>
      <c r="B42" s="61" t="s">
        <v>76</v>
      </c>
      <c r="C42" s="53" t="s">
        <v>76</v>
      </c>
      <c r="D42" s="55" t="s">
        <v>294</v>
      </c>
      <c r="E42" s="203" t="s">
        <v>382</v>
      </c>
      <c r="G42" s="108" t="s">
        <v>87</v>
      </c>
      <c r="H42" s="50"/>
      <c r="J42" s="198" t="s">
        <v>310</v>
      </c>
      <c r="L42" s="49"/>
      <c r="V42" s="36"/>
      <c r="W42" s="5"/>
      <c r="X42" s="36"/>
      <c r="Y42" s="36"/>
      <c r="Z42" s="5"/>
      <c r="AA42" s="36"/>
      <c r="AB42" s="36"/>
    </row>
    <row r="43" spans="1:31" ht="18" x14ac:dyDescent="0.25">
      <c r="A43" s="62">
        <v>0</v>
      </c>
      <c r="B43" s="249">
        <v>12.9628</v>
      </c>
      <c r="C43" s="168">
        <v>0.33900000000000002</v>
      </c>
      <c r="D43" s="56">
        <v>113000000</v>
      </c>
      <c r="E43" s="234">
        <f>H45+K46</f>
        <v>1.35</v>
      </c>
      <c r="F43" s="54"/>
      <c r="G43" s="200" t="s">
        <v>86</v>
      </c>
      <c r="H43" s="229">
        <v>0.42259999999999998</v>
      </c>
      <c r="J43" s="196" t="s">
        <v>298</v>
      </c>
      <c r="K43" s="110"/>
      <c r="L43" s="110"/>
      <c r="M43" s="196" t="s">
        <v>306</v>
      </c>
      <c r="N43" s="110"/>
      <c r="P43" s="196" t="s">
        <v>89</v>
      </c>
      <c r="Q43" s="196"/>
      <c r="S43" s="196" t="s">
        <v>357</v>
      </c>
      <c r="T43" s="226">
        <f>Q48/N54</f>
        <v>0.86725968645689222</v>
      </c>
      <c r="V43" s="192" t="s">
        <v>315</v>
      </c>
      <c r="W43" s="33" t="s">
        <v>321</v>
      </c>
      <c r="X43" s="33" t="s">
        <v>80</v>
      </c>
      <c r="Y43" s="33" t="s">
        <v>317</v>
      </c>
      <c r="Z43" s="34" t="s">
        <v>81</v>
      </c>
      <c r="AA43" s="205" t="s">
        <v>217</v>
      </c>
      <c r="AB43" s="206" t="s">
        <v>83</v>
      </c>
      <c r="AC43" s="34" t="s">
        <v>392</v>
      </c>
    </row>
    <row r="44" spans="1:31" ht="18" thickBot="1" x14ac:dyDescent="0.3">
      <c r="A44" s="32">
        <v>3</v>
      </c>
      <c r="B44" s="245">
        <v>18.967500000000001</v>
      </c>
      <c r="C44" s="169">
        <v>2.7972000000000001</v>
      </c>
      <c r="D44" s="48">
        <v>30000000</v>
      </c>
      <c r="E44" s="235">
        <f t="shared" ref="E44:E54" si="8">E43-$H$50</f>
        <v>1.3284</v>
      </c>
      <c r="F44" s="54"/>
      <c r="G44" s="200" t="s">
        <v>304</v>
      </c>
      <c r="H44" s="229">
        <v>354.94557501183152</v>
      </c>
      <c r="J44" s="199"/>
      <c r="K44" s="199"/>
      <c r="L44" s="110"/>
      <c r="M44" s="199"/>
      <c r="N44" s="110"/>
      <c r="P44" s="110"/>
      <c r="Q44" s="110"/>
      <c r="S44" s="196" t="s">
        <v>374</v>
      </c>
      <c r="T44" s="226">
        <f>Q48/N52</f>
        <v>0.90981480824647853</v>
      </c>
      <c r="V44" s="203" t="s">
        <v>79</v>
      </c>
      <c r="W44" s="53" t="s">
        <v>316</v>
      </c>
      <c r="X44" s="53" t="s">
        <v>78</v>
      </c>
      <c r="Y44" s="53" t="s">
        <v>318</v>
      </c>
      <c r="Z44" s="55" t="s">
        <v>319</v>
      </c>
      <c r="AA44" s="207" t="s">
        <v>323</v>
      </c>
      <c r="AB44" s="208" t="s">
        <v>322</v>
      </c>
      <c r="AC44" s="55"/>
    </row>
    <row r="45" spans="1:31" ht="18" x14ac:dyDescent="0.25">
      <c r="A45" s="32">
        <v>6</v>
      </c>
      <c r="B45" s="245">
        <v>15.7155</v>
      </c>
      <c r="C45" s="169">
        <v>8.9239999999999995</v>
      </c>
      <c r="D45" s="48">
        <v>88500000</v>
      </c>
      <c r="E45" s="235">
        <f t="shared" si="8"/>
        <v>1.3068</v>
      </c>
      <c r="F45" s="54"/>
      <c r="G45" s="109" t="s">
        <v>305</v>
      </c>
      <c r="H45" s="229">
        <f>(1500-H44)/1000</f>
        <v>1.1450544249881685</v>
      </c>
      <c r="J45" s="109" t="s">
        <v>302</v>
      </c>
      <c r="K45" s="199">
        <v>6.8</v>
      </c>
      <c r="L45" s="110"/>
      <c r="M45" s="200" t="s">
        <v>307</v>
      </c>
      <c r="N45" s="230">
        <f>B54*(E54)</f>
        <v>0.18910799999999992</v>
      </c>
      <c r="P45" s="109" t="s">
        <v>312</v>
      </c>
      <c r="Q45" s="229">
        <f>C43*(E43)</f>
        <v>0.45765000000000006</v>
      </c>
      <c r="S45" s="196" t="s">
        <v>375</v>
      </c>
      <c r="T45" s="226">
        <f>Q48/(H43*H44)</f>
        <v>0.26138678399999987</v>
      </c>
      <c r="V45" s="30">
        <f t="shared" ref="V45:V54" si="9">A43</f>
        <v>0</v>
      </c>
      <c r="W45" s="249">
        <v>1.35</v>
      </c>
      <c r="X45" s="168">
        <f t="shared" ref="X45:X54" si="10">B43*W45</f>
        <v>17.499780000000001</v>
      </c>
      <c r="Y45" s="210">
        <f>D43*X56</f>
        <v>169500000000</v>
      </c>
      <c r="Z45" s="239">
        <f t="shared" ref="Z45:Z54" si="11">C43*W45</f>
        <v>0.45765000000000006</v>
      </c>
      <c r="AA45" s="62"/>
      <c r="AB45" s="38"/>
      <c r="AC45" s="234">
        <f t="shared" ref="AC45:AC54" si="12">LN(Z45)</f>
        <v>-0.78165057915134861</v>
      </c>
    </row>
    <row r="46" spans="1:31" ht="18" x14ac:dyDescent="0.25">
      <c r="A46" s="32">
        <v>9</v>
      </c>
      <c r="B46" s="245">
        <v>11.1723</v>
      </c>
      <c r="C46" s="169">
        <v>15.366099999999999</v>
      </c>
      <c r="D46" s="48">
        <v>415000000</v>
      </c>
      <c r="E46" s="235">
        <f t="shared" si="8"/>
        <v>1.2851999999999999</v>
      </c>
      <c r="F46" s="54"/>
      <c r="G46" s="108" t="s">
        <v>94</v>
      </c>
      <c r="H46" s="50">
        <f>H44+H45*1000</f>
        <v>1500</v>
      </c>
      <c r="J46" s="109" t="s">
        <v>301</v>
      </c>
      <c r="K46" s="229">
        <f>(1-H43)*H44/1000</f>
        <v>0.20494557501183153</v>
      </c>
      <c r="L46" s="110"/>
      <c r="M46" s="110"/>
      <c r="N46" s="250"/>
      <c r="P46" s="109" t="s">
        <v>313</v>
      </c>
      <c r="Q46" s="229">
        <f>C54*(E54)</f>
        <v>34.962509519999983</v>
      </c>
      <c r="V46" s="46">
        <f t="shared" si="9"/>
        <v>3</v>
      </c>
      <c r="W46" s="245">
        <v>1.3284</v>
      </c>
      <c r="X46" s="169">
        <f t="shared" si="10"/>
        <v>25.196427000000003</v>
      </c>
      <c r="Y46" s="54">
        <f>D44*(X56-COUNT($V$45:V45)*0.024*1000)</f>
        <v>44280000000</v>
      </c>
      <c r="Z46" s="240">
        <f t="shared" si="11"/>
        <v>3.7158004800000004</v>
      </c>
      <c r="AA46" s="243">
        <f>((A44-A43)/(A45-A43)*(C45-C44)/(A45-A44))+((C44-C43)/(A44-A43)*(A45-A44)/(A45-A43))</f>
        <v>1.4308333333333332</v>
      </c>
      <c r="AB46" s="284">
        <f>(AA46*0.9/1000)/D44</f>
        <v>4.2925000000000003E-11</v>
      </c>
      <c r="AC46" s="235">
        <f t="shared" si="12"/>
        <v>1.3125941273680293</v>
      </c>
    </row>
    <row r="47" spans="1:31" x14ac:dyDescent="0.2">
      <c r="A47" s="32">
        <v>12</v>
      </c>
      <c r="B47" s="245">
        <v>7.3796999999999997</v>
      </c>
      <c r="C47" s="169">
        <v>21.101600000000001</v>
      </c>
      <c r="D47" s="48">
        <v>250000000</v>
      </c>
      <c r="E47" s="235">
        <f t="shared" si="8"/>
        <v>1.2635999999999998</v>
      </c>
      <c r="F47" s="54"/>
      <c r="J47" s="199"/>
      <c r="K47" s="199"/>
      <c r="L47" s="110"/>
      <c r="M47" s="110"/>
      <c r="N47" s="250"/>
      <c r="P47" s="110"/>
      <c r="Q47" s="307"/>
      <c r="V47" s="46">
        <f t="shared" si="9"/>
        <v>6</v>
      </c>
      <c r="W47" s="245">
        <v>1.3068</v>
      </c>
      <c r="X47" s="169">
        <f t="shared" si="10"/>
        <v>20.537015400000001</v>
      </c>
      <c r="Y47" s="54">
        <f>D45*(X56-COUNT($V$45:V46)*0.024*1000)</f>
        <v>128502000000</v>
      </c>
      <c r="Z47" s="240">
        <f t="shared" si="11"/>
        <v>11.661883199999998</v>
      </c>
      <c r="AA47" s="243">
        <f t="shared" ref="AA47:AA52" si="13">((A45-A44)/(A46-A44)*(C46-C45)/(A46-A45))+((C45-C44)/(A45-A44)*(A46-A45)/(A46-A44))</f>
        <v>2.0948166666666665</v>
      </c>
      <c r="AB47" s="284">
        <f t="shared" ref="AB47:AB53" si="14">(AA47*0.9/1000)/D45</f>
        <v>2.1303220338983049E-11</v>
      </c>
      <c r="AC47" s="235">
        <f t="shared" si="12"/>
        <v>2.4563256773150641</v>
      </c>
    </row>
    <row r="48" spans="1:31" ht="18" x14ac:dyDescent="0.25">
      <c r="A48" s="32">
        <v>15</v>
      </c>
      <c r="B48" s="245">
        <v>4.07</v>
      </c>
      <c r="C48" s="169">
        <v>24.794</v>
      </c>
      <c r="D48" s="48">
        <f>AVERAGE(48,61)/10^(-6)/0.1</f>
        <v>545000000</v>
      </c>
      <c r="E48" s="235">
        <f t="shared" si="8"/>
        <v>1.2419999999999998</v>
      </c>
      <c r="F48" s="54"/>
      <c r="G48" s="108" t="s">
        <v>309</v>
      </c>
      <c r="H48" s="50"/>
      <c r="I48" s="5"/>
      <c r="J48" s="109" t="s">
        <v>303</v>
      </c>
      <c r="K48" s="229">
        <f>(10*243.364/1000+K45*K46)/(E43)</f>
        <v>2.8350147482077439</v>
      </c>
      <c r="L48" s="110"/>
      <c r="M48" s="196" t="s">
        <v>327</v>
      </c>
      <c r="N48" s="229"/>
      <c r="P48" s="196" t="s">
        <v>314</v>
      </c>
      <c r="Q48" s="233">
        <f>Q46-Q45+H52</f>
        <v>39.208017599999984</v>
      </c>
      <c r="V48" s="46">
        <f t="shared" si="9"/>
        <v>9</v>
      </c>
      <c r="W48" s="245">
        <v>1.2851999999999999</v>
      </c>
      <c r="X48" s="169">
        <f t="shared" si="10"/>
        <v>14.358639959999998</v>
      </c>
      <c r="Y48" s="54">
        <f>D46*(X56-COUNT($V$45:V47)*0.024*1000)</f>
        <v>592620000000</v>
      </c>
      <c r="Z48" s="240">
        <f t="shared" si="11"/>
        <v>19.748511719999996</v>
      </c>
      <c r="AA48" s="243">
        <f t="shared" si="13"/>
        <v>2.0296000000000003</v>
      </c>
      <c r="AB48" s="284">
        <f t="shared" si="14"/>
        <v>4.4015421686746992E-12</v>
      </c>
      <c r="AC48" s="235">
        <f t="shared" si="12"/>
        <v>2.9830781325583615</v>
      </c>
    </row>
    <row r="49" spans="1:29" ht="17" x14ac:dyDescent="0.25">
      <c r="A49" s="32">
        <v>21</v>
      </c>
      <c r="B49" s="245">
        <v>0.12659999999999999</v>
      </c>
      <c r="C49" s="169">
        <v>27.791799999999999</v>
      </c>
      <c r="D49" s="48">
        <f>AVERAGE(28,42)/10^(-6)/0.1</f>
        <v>350000000</v>
      </c>
      <c r="E49" s="235">
        <f t="shared" si="8"/>
        <v>1.2203999999999997</v>
      </c>
      <c r="F49" s="54"/>
      <c r="G49" s="199" t="s">
        <v>95</v>
      </c>
      <c r="H49" s="199">
        <f>COUNT(B43:B52)</f>
        <v>10</v>
      </c>
      <c r="I49" s="5"/>
      <c r="J49" s="109" t="s">
        <v>300</v>
      </c>
      <c r="K49" s="230">
        <f>10*243.364/1000+K45*K46</f>
        <v>3.8272699100804544</v>
      </c>
      <c r="L49" s="110"/>
      <c r="M49" s="110"/>
      <c r="N49" s="229"/>
      <c r="V49" s="46">
        <f t="shared" si="9"/>
        <v>12</v>
      </c>
      <c r="W49" s="245">
        <v>1.2635999999999998</v>
      </c>
      <c r="X49" s="169">
        <f t="shared" si="10"/>
        <v>9.3249889199999991</v>
      </c>
      <c r="Y49" s="54">
        <f>D47*(X56-COUNT($V$45:V48)*0.024*1000)</f>
        <v>351000000000</v>
      </c>
      <c r="Z49" s="240">
        <f t="shared" si="11"/>
        <v>26.663981759999999</v>
      </c>
      <c r="AA49" s="243">
        <f t="shared" si="13"/>
        <v>1.5713166666666667</v>
      </c>
      <c r="AB49" s="284">
        <f t="shared" si="14"/>
        <v>5.65674E-12</v>
      </c>
      <c r="AC49" s="235">
        <f t="shared" si="12"/>
        <v>3.2833136569367976</v>
      </c>
    </row>
    <row r="50" spans="1:29" x14ac:dyDescent="0.2">
      <c r="A50" s="264">
        <v>24</v>
      </c>
      <c r="B50" s="252">
        <v>2.3999999999999998E-3</v>
      </c>
      <c r="C50" s="253">
        <v>28.595199999999998</v>
      </c>
      <c r="D50" s="258">
        <f>AVERAGE(34,24)/10^(-6)/0.1</f>
        <v>290000000</v>
      </c>
      <c r="E50" s="259">
        <f t="shared" si="8"/>
        <v>1.1987999999999996</v>
      </c>
      <c r="F50" s="54"/>
      <c r="G50" s="199" t="s">
        <v>96</v>
      </c>
      <c r="H50" s="199">
        <f>0.9*0.024</f>
        <v>2.1600000000000001E-2</v>
      </c>
      <c r="I50" s="5"/>
      <c r="J50" s="110"/>
      <c r="K50" s="199"/>
      <c r="L50" s="110"/>
      <c r="M50" s="200" t="s">
        <v>328</v>
      </c>
      <c r="N50" s="229">
        <f>AVERAGE('4 Amount of released glucose'!D10:D18)*'11 50% adapt. X=10mg'!H43*'11 50% adapt. X=10mg'!H44</f>
        <v>87.296317767830757</v>
      </c>
      <c r="V50" s="46">
        <f t="shared" si="9"/>
        <v>15</v>
      </c>
      <c r="W50" s="245">
        <v>1.2419999999999998</v>
      </c>
      <c r="X50" s="169">
        <f t="shared" si="10"/>
        <v>5.0549399999999993</v>
      </c>
      <c r="Y50" s="54">
        <f>D48*(X56-COUNT($V$45:V49)*0.024*1000)</f>
        <v>752100000000</v>
      </c>
      <c r="Z50" s="240">
        <f t="shared" si="11"/>
        <v>30.794147999999996</v>
      </c>
      <c r="AA50" s="243">
        <f t="shared" si="13"/>
        <v>0.9870777777777775</v>
      </c>
      <c r="AB50" s="284">
        <f t="shared" si="14"/>
        <v>1.6300366972477061E-12</v>
      </c>
      <c r="AC50" s="235">
        <f t="shared" si="12"/>
        <v>3.4273246719272419</v>
      </c>
    </row>
    <row r="51" spans="1:29" ht="17" x14ac:dyDescent="0.25">
      <c r="A51" s="32">
        <v>27</v>
      </c>
      <c r="B51" s="245">
        <v>0.13389999999999999</v>
      </c>
      <c r="C51" s="169">
        <v>29.4709</v>
      </c>
      <c r="D51" s="48">
        <f>AVERAGE(24,20)/10^(-6)/0.1</f>
        <v>220000000</v>
      </c>
      <c r="E51" s="235">
        <f t="shared" si="8"/>
        <v>1.1771999999999996</v>
      </c>
      <c r="F51" s="54"/>
      <c r="G51" s="200" t="s">
        <v>97</v>
      </c>
      <c r="H51" s="230">
        <f>H50*(SUM(B43:B53))</f>
        <v>1.5235797599999996</v>
      </c>
      <c r="I51" s="5"/>
      <c r="J51" s="110"/>
      <c r="K51" s="110"/>
      <c r="L51" s="110"/>
      <c r="M51" s="200" t="s">
        <v>329</v>
      </c>
      <c r="N51" s="229">
        <f>AVERAGE('4 Amount of released glucose'!D100:D108)*'11 50% adapt. X=10mg'!H43*'11 50% adapt. X=10mg'!H44</f>
        <v>44.201814090134938</v>
      </c>
      <c r="P51" s="36"/>
      <c r="Q51" s="5"/>
      <c r="T51" s="36"/>
      <c r="U51" s="5"/>
      <c r="V51" s="46">
        <f t="shared" si="9"/>
        <v>21</v>
      </c>
      <c r="W51" s="245">
        <v>1.2203999999999997</v>
      </c>
      <c r="X51" s="169">
        <f t="shared" si="10"/>
        <v>0.15450263999999994</v>
      </c>
      <c r="Y51" s="54">
        <f>D49*(X56-COUNT($V$45:V50)*0.024*1000)</f>
        <v>474600000000</v>
      </c>
      <c r="Z51" s="240">
        <f t="shared" si="11"/>
        <v>33.917112719999992</v>
      </c>
      <c r="AA51" s="243">
        <f t="shared" si="13"/>
        <v>0.34507777777777759</v>
      </c>
      <c r="AB51" s="284">
        <f t="shared" si="14"/>
        <v>8.8734285714285672E-13</v>
      </c>
      <c r="AC51" s="235">
        <f t="shared" si="12"/>
        <v>3.5239196870177465</v>
      </c>
    </row>
    <row r="52" spans="1:29" x14ac:dyDescent="0.2">
      <c r="A52" s="32">
        <v>30</v>
      </c>
      <c r="B52" s="245">
        <v>5.4000000000000003E-3</v>
      </c>
      <c r="C52" s="169">
        <v>28.3965</v>
      </c>
      <c r="D52" s="48">
        <f>AVERAGE(413,377)/10^(-5)/0.1</f>
        <v>395000000</v>
      </c>
      <c r="E52" s="235">
        <f t="shared" si="8"/>
        <v>1.1555999999999995</v>
      </c>
      <c r="F52" s="54"/>
      <c r="G52" s="200" t="s">
        <v>98</v>
      </c>
      <c r="H52" s="230">
        <f>H50*(SUM(C43:C53))</f>
        <v>4.7031580800000006</v>
      </c>
      <c r="I52" s="5"/>
      <c r="J52" s="110"/>
      <c r="K52" s="110"/>
      <c r="L52" s="110"/>
      <c r="M52" s="200" t="s">
        <v>330</v>
      </c>
      <c r="N52" s="230">
        <f>N50-N51</f>
        <v>43.094503677695819</v>
      </c>
      <c r="P52" s="36"/>
      <c r="Q52" s="5"/>
      <c r="T52" s="36"/>
      <c r="U52" s="5"/>
      <c r="V52" s="251">
        <f t="shared" si="9"/>
        <v>24</v>
      </c>
      <c r="W52" s="252">
        <v>1.1987999999999996</v>
      </c>
      <c r="X52" s="253">
        <f t="shared" si="10"/>
        <v>2.8771199999999991E-3</v>
      </c>
      <c r="Y52" s="254">
        <f>D50*(X56-COUNT($V$45:V51)*0.024*1000)</f>
        <v>386280000000</v>
      </c>
      <c r="Z52" s="255">
        <f t="shared" si="11"/>
        <v>34.27992575999999</v>
      </c>
      <c r="AA52" s="256">
        <f t="shared" si="13"/>
        <v>0.27985000000000032</v>
      </c>
      <c r="AB52" s="254">
        <f t="shared" si="14"/>
        <v>8.6850000000000089E-13</v>
      </c>
      <c r="AC52" s="259">
        <f t="shared" si="12"/>
        <v>3.5345599280329512</v>
      </c>
    </row>
    <row r="53" spans="1:29" x14ac:dyDescent="0.2">
      <c r="A53" s="32">
        <v>33</v>
      </c>
      <c r="B53" s="308">
        <v>0</v>
      </c>
      <c r="C53" s="309">
        <v>30.162500000000001</v>
      </c>
      <c r="D53" s="270"/>
      <c r="E53" s="235">
        <f t="shared" si="8"/>
        <v>1.1339999999999995</v>
      </c>
      <c r="F53" s="54"/>
      <c r="G53" s="5"/>
      <c r="H53" s="5"/>
      <c r="I53" s="5"/>
      <c r="J53" s="110"/>
      <c r="K53" s="110"/>
      <c r="L53" s="110"/>
      <c r="M53" s="110"/>
      <c r="N53" s="229"/>
      <c r="P53" s="5"/>
      <c r="Q53" s="5"/>
      <c r="T53" s="5"/>
      <c r="U53" s="5"/>
      <c r="V53" s="46">
        <f t="shared" si="9"/>
        <v>27</v>
      </c>
      <c r="W53" s="245">
        <v>1.1771999999999996</v>
      </c>
      <c r="X53" s="169">
        <f t="shared" si="10"/>
        <v>0.15762707999999995</v>
      </c>
      <c r="Y53" s="54"/>
      <c r="Z53" s="240">
        <f t="shared" si="11"/>
        <v>34.693143479999989</v>
      </c>
      <c r="AA53" s="243">
        <f>((A51-A50)/(A52-A50)*(C52-C51)/(A52-A51))+((C51-C50)/(A51-A50)*(A52-A51)/(A52-A50))</f>
        <v>-3.3116666666666461E-2</v>
      </c>
      <c r="AB53" s="284">
        <f t="shared" si="14"/>
        <v>-1.3547727272727188E-13</v>
      </c>
      <c r="AC53" s="235">
        <f t="shared" si="12"/>
        <v>3.5465420731921888</v>
      </c>
    </row>
    <row r="54" spans="1:29" ht="18" thickBot="1" x14ac:dyDescent="0.25">
      <c r="A54" s="42">
        <v>49</v>
      </c>
      <c r="B54" s="310">
        <v>0.17</v>
      </c>
      <c r="C54" s="311">
        <v>31.4298</v>
      </c>
      <c r="D54" s="271"/>
      <c r="E54" s="236">
        <f t="shared" si="8"/>
        <v>1.1123999999999994</v>
      </c>
      <c r="F54" s="36"/>
      <c r="G54" s="5"/>
      <c r="H54" s="36"/>
      <c r="I54" s="36"/>
      <c r="J54" s="110"/>
      <c r="K54" s="110"/>
      <c r="L54" s="110"/>
      <c r="M54" s="196" t="s">
        <v>356</v>
      </c>
      <c r="N54" s="233">
        <f>N52+K49-N45-H51</f>
        <v>45.209085827776278</v>
      </c>
      <c r="P54" s="5"/>
      <c r="Q54" s="197"/>
      <c r="T54" s="36"/>
      <c r="U54" s="197"/>
      <c r="V54" s="31">
        <f t="shared" si="9"/>
        <v>30</v>
      </c>
      <c r="W54" s="246">
        <v>1.1555999999999995</v>
      </c>
      <c r="X54" s="238">
        <f t="shared" si="10"/>
        <v>6.2402399999999976E-3</v>
      </c>
      <c r="Y54" s="65"/>
      <c r="Z54" s="242">
        <f t="shared" si="11"/>
        <v>32.814995399999987</v>
      </c>
      <c r="AA54" s="217"/>
      <c r="AB54" s="279"/>
      <c r="AC54" s="236">
        <f t="shared" si="12"/>
        <v>3.49088558774588</v>
      </c>
    </row>
    <row r="55" spans="1:29" ht="16" thickBot="1" x14ac:dyDescent="0.25">
      <c r="D55" s="269"/>
      <c r="H55" s="5"/>
      <c r="I55" s="5"/>
      <c r="J55" s="5"/>
      <c r="L55" s="5"/>
      <c r="M55" s="5"/>
      <c r="N55" s="5"/>
      <c r="P55" s="36"/>
      <c r="Q55" s="36"/>
      <c r="T55" s="36"/>
      <c r="U55" s="36"/>
      <c r="W55" s="5"/>
      <c r="X55" s="5"/>
      <c r="Y55" s="5"/>
      <c r="Z55" s="5"/>
      <c r="AA55" s="205"/>
      <c r="AB55" s="206"/>
      <c r="AC55" s="5"/>
    </row>
    <row r="56" spans="1:29" ht="18" thickBot="1" x14ac:dyDescent="0.25">
      <c r="A56" s="11" t="s">
        <v>296</v>
      </c>
      <c r="H56" s="36"/>
      <c r="I56" s="5"/>
      <c r="J56" s="5"/>
      <c r="L56" s="36"/>
      <c r="M56" s="5"/>
      <c r="N56" s="5"/>
      <c r="P56" s="5"/>
      <c r="Q56" s="5"/>
      <c r="T56" s="5"/>
      <c r="U56" s="5"/>
      <c r="V56" s="44" t="s">
        <v>94</v>
      </c>
      <c r="W56" s="59"/>
      <c r="X56" s="60">
        <f>H45*1000+H44</f>
        <v>1500</v>
      </c>
      <c r="Y56" s="36"/>
      <c r="Z56" s="10" t="s">
        <v>93</v>
      </c>
      <c r="AA56" s="301">
        <f>MAX(AA46:AA51)</f>
        <v>2.0948166666666665</v>
      </c>
      <c r="AB56" s="302">
        <f>MAX(AB46:AB51)</f>
        <v>4.2925000000000003E-11</v>
      </c>
      <c r="AC56" s="5"/>
    </row>
    <row r="57" spans="1:29" ht="18" thickBot="1" x14ac:dyDescent="0.25">
      <c r="A57" s="49" t="s">
        <v>297</v>
      </c>
      <c r="H57" s="36"/>
      <c r="I57" s="5"/>
      <c r="J57" s="5"/>
      <c r="L57" s="36"/>
      <c r="M57" s="5"/>
      <c r="N57" s="5"/>
      <c r="P57" s="5"/>
      <c r="Q57" s="5"/>
      <c r="T57" s="5"/>
      <c r="U57" s="5"/>
      <c r="W57" s="5"/>
      <c r="X57" s="5"/>
      <c r="Y57" s="39"/>
      <c r="Z57" s="10" t="s">
        <v>99</v>
      </c>
      <c r="AA57" s="303">
        <f>(C50-C43)/A50</f>
        <v>1.1773416666666667</v>
      </c>
      <c r="AB57" s="304">
        <f>AVERAGE(AB46:AB51)</f>
        <v>1.2800647010341384E-11</v>
      </c>
      <c r="AC57" s="5"/>
    </row>
    <row r="58" spans="1:29" ht="17" x14ac:dyDescent="0.2">
      <c r="A58" s="49" t="s">
        <v>299</v>
      </c>
      <c r="L58" s="5"/>
      <c r="M58" s="5"/>
      <c r="N58" s="5"/>
      <c r="P58" s="5"/>
      <c r="Q58" s="5"/>
      <c r="T58" s="5"/>
      <c r="U58" s="5"/>
      <c r="V58" s="5"/>
      <c r="W58" s="5"/>
      <c r="X58" s="5"/>
      <c r="Z58" s="5"/>
      <c r="AA58" s="5"/>
      <c r="AB58" s="5"/>
      <c r="AC58" s="5"/>
    </row>
    <row r="59" spans="1:29" ht="17" x14ac:dyDescent="0.2">
      <c r="A59" s="49" t="s">
        <v>385</v>
      </c>
      <c r="L59" s="36"/>
      <c r="M59" s="5"/>
      <c r="N59" s="5"/>
      <c r="P59" s="36"/>
      <c r="Q59" s="5"/>
      <c r="T59" s="5"/>
      <c r="U59" s="5"/>
      <c r="V59" s="5"/>
      <c r="W59" s="5"/>
      <c r="X59" s="5"/>
      <c r="Z59" s="36"/>
      <c r="AA59" s="5"/>
      <c r="AB59" s="5"/>
      <c r="AC59" s="5"/>
    </row>
    <row r="60" spans="1:29" ht="17" x14ac:dyDescent="0.2">
      <c r="A60" s="49" t="s">
        <v>308</v>
      </c>
      <c r="H60" s="36"/>
      <c r="I60" s="5"/>
      <c r="L60" s="5"/>
      <c r="M60" s="36"/>
      <c r="N60" s="36"/>
      <c r="P60" s="36"/>
      <c r="Q60" s="36"/>
      <c r="T60" s="36"/>
      <c r="U60" s="5"/>
      <c r="V60" s="197"/>
      <c r="W60" s="5"/>
      <c r="X60" s="5"/>
      <c r="Z60" s="5"/>
      <c r="AA60" s="5"/>
      <c r="AB60" s="5"/>
      <c r="AC60" s="5"/>
    </row>
    <row r="61" spans="1:29" ht="17" x14ac:dyDescent="0.2">
      <c r="A61" s="49" t="s">
        <v>320</v>
      </c>
      <c r="H61" s="5"/>
      <c r="I61" s="5"/>
      <c r="L61" s="5"/>
      <c r="M61" s="5"/>
      <c r="N61" s="5"/>
      <c r="P61" s="5"/>
      <c r="Q61" s="5"/>
      <c r="S61" s="191" t="s">
        <v>372</v>
      </c>
      <c r="AB61" s="5"/>
      <c r="AC61" s="5"/>
    </row>
    <row r="62" spans="1:29" x14ac:dyDescent="0.2">
      <c r="H62" s="36"/>
      <c r="I62" s="5"/>
      <c r="P62" s="5"/>
      <c r="Q62" s="5"/>
      <c r="S62" s="198" t="s">
        <v>82</v>
      </c>
      <c r="W62" s="198" t="s">
        <v>90</v>
      </c>
      <c r="AB62" s="5"/>
      <c r="AC62" s="5"/>
    </row>
    <row r="63" spans="1:29" ht="17" x14ac:dyDescent="0.2">
      <c r="H63" s="36"/>
      <c r="I63" s="5"/>
      <c r="P63" s="36"/>
      <c r="Q63" s="197"/>
      <c r="U63" s="196" t="s">
        <v>383</v>
      </c>
      <c r="X63" s="247" t="s">
        <v>217</v>
      </c>
      <c r="Y63" s="247" t="s">
        <v>383</v>
      </c>
      <c r="Z63" s="247" t="s">
        <v>83</v>
      </c>
      <c r="AA63" s="247" t="s">
        <v>383</v>
      </c>
      <c r="AB63" s="5"/>
      <c r="AC63" s="5"/>
    </row>
    <row r="64" spans="1:29" ht="18" x14ac:dyDescent="0.25">
      <c r="H64" s="5"/>
      <c r="I64" s="5"/>
      <c r="P64" s="36"/>
      <c r="Q64" s="36"/>
      <c r="S64" s="196" t="s">
        <v>348</v>
      </c>
      <c r="T64" s="226">
        <f>AVERAGE(T13,T43)</f>
        <v>0.82954196829378379</v>
      </c>
      <c r="U64" s="226">
        <f>T64-T13</f>
        <v>3.7717718163108427E-2</v>
      </c>
      <c r="X64" s="247" t="s">
        <v>323</v>
      </c>
      <c r="Y64" s="247"/>
      <c r="Z64" s="247" t="s">
        <v>384</v>
      </c>
      <c r="AA64" s="247"/>
    </row>
    <row r="65" spans="2:27" ht="17" x14ac:dyDescent="0.25">
      <c r="H65" s="5"/>
      <c r="I65" s="5"/>
      <c r="P65" s="5"/>
      <c r="Q65" s="5"/>
      <c r="S65" s="196" t="s">
        <v>374</v>
      </c>
      <c r="T65" s="226">
        <f>AVERAGE(T14,T44)</f>
        <v>0.8691666494246284</v>
      </c>
      <c r="U65" s="226">
        <f>T65-T14</f>
        <v>4.0648158821850244E-2</v>
      </c>
      <c r="W65" s="247" t="s">
        <v>93</v>
      </c>
      <c r="X65" s="248">
        <f>AVERAGE(AA56,AA26)</f>
        <v>2.0368249999999999</v>
      </c>
      <c r="Y65" s="248">
        <f>X65-AA26</f>
        <v>5.7991666666666664E-2</v>
      </c>
      <c r="Z65" s="248">
        <f>AVERAGE(AB56,AB26)*10^11</f>
        <v>4.0261913970588239</v>
      </c>
      <c r="AA65" s="248">
        <f>Z65-AB26*10^11</f>
        <v>0.26630860294117742</v>
      </c>
    </row>
    <row r="66" spans="2:27" ht="17" x14ac:dyDescent="0.25">
      <c r="H66" s="36"/>
      <c r="I66" s="36"/>
      <c r="P66" s="5"/>
      <c r="Q66" s="5"/>
      <c r="S66" s="196" t="s">
        <v>375</v>
      </c>
      <c r="T66" s="226">
        <f>AVERAGE(T15,T45)</f>
        <v>0.25530842527199987</v>
      </c>
      <c r="U66" s="226">
        <f>T66-T15</f>
        <v>6.0783587279999718E-3</v>
      </c>
      <c r="W66" s="247" t="s">
        <v>99</v>
      </c>
      <c r="X66" s="248">
        <f>AVERAGE(AA57,AA27)</f>
        <v>1.1853750000000001</v>
      </c>
      <c r="Y66" s="248">
        <f>X66-AA57</f>
        <v>8.0333333333333368E-3</v>
      </c>
      <c r="Z66" s="248">
        <f>AVERAGE(AB57,AB27)*10^11</f>
        <v>1.1467241370140633</v>
      </c>
      <c r="AA66" s="248">
        <f>Z66-(AB27*10^11)</f>
        <v>0.1333405640200751</v>
      </c>
    </row>
    <row r="67" spans="2:27" x14ac:dyDescent="0.2">
      <c r="H67" s="36"/>
      <c r="I67" s="36"/>
    </row>
    <row r="68" spans="2:27" x14ac:dyDescent="0.2">
      <c r="H68" s="5"/>
      <c r="I68" s="5"/>
    </row>
    <row r="69" spans="2:27" x14ac:dyDescent="0.2">
      <c r="H69" s="5"/>
      <c r="I69" s="5"/>
    </row>
    <row r="70" spans="2:27" x14ac:dyDescent="0.2">
      <c r="B70" s="10"/>
      <c r="L70" s="10"/>
    </row>
    <row r="72" spans="2:27" ht="17" x14ac:dyDescent="0.2">
      <c r="L72" s="49"/>
    </row>
    <row r="73" spans="2:27" ht="17" x14ac:dyDescent="0.2">
      <c r="L73" s="49"/>
    </row>
    <row r="74" spans="2:27" ht="17" x14ac:dyDescent="0.2">
      <c r="L74" s="49"/>
    </row>
    <row r="75" spans="2:27" ht="17" x14ac:dyDescent="0.2">
      <c r="L75" s="49"/>
    </row>
    <row r="76" spans="2:27" ht="17" x14ac:dyDescent="0.2">
      <c r="L76" s="49"/>
    </row>
  </sheetData>
  <mergeCells count="1">
    <mergeCell ref="AA33:AB3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J24"/>
  <sheetViews>
    <sheetView zoomScale="90" zoomScaleNormal="90" zoomScalePageLayoutView="90" workbookViewId="0">
      <selection activeCell="E20" sqref="E20"/>
    </sheetView>
  </sheetViews>
  <sheetFormatPr baseColWidth="10" defaultColWidth="8.83203125" defaultRowHeight="15" x14ac:dyDescent="0.2"/>
  <cols>
    <col min="1" max="1" width="8.83203125" style="11"/>
    <col min="2" max="2" width="18.33203125" style="11" bestFit="1" customWidth="1"/>
    <col min="3" max="3" width="27" style="11" bestFit="1" customWidth="1"/>
    <col min="4" max="4" width="30.1640625" style="11" bestFit="1" customWidth="1"/>
    <col min="5" max="5" width="30.1640625" style="11" customWidth="1"/>
    <col min="6" max="6" width="24" style="11" bestFit="1" customWidth="1"/>
    <col min="7" max="7" width="19.1640625" style="11" customWidth="1"/>
    <col min="8" max="8" width="19.5" style="11" bestFit="1" customWidth="1"/>
    <col min="9" max="9" width="11.83203125" style="11" bestFit="1" customWidth="1"/>
    <col min="10" max="16384" width="8.83203125" style="11"/>
  </cols>
  <sheetData>
    <row r="1" spans="1:10" x14ac:dyDescent="0.2">
      <c r="A1" s="191" t="s">
        <v>358</v>
      </c>
    </row>
    <row r="3" spans="1:10" x14ac:dyDescent="0.2">
      <c r="B3" s="191" t="s">
        <v>359</v>
      </c>
    </row>
    <row r="4" spans="1:10" ht="16" thickBot="1" x14ac:dyDescent="0.25"/>
    <row r="5" spans="1:10" x14ac:dyDescent="0.2">
      <c r="B5" s="18" t="s">
        <v>360</v>
      </c>
      <c r="C5" s="13" t="s">
        <v>362</v>
      </c>
      <c r="D5" s="13" t="s">
        <v>363</v>
      </c>
      <c r="E5" s="13" t="s">
        <v>371</v>
      </c>
      <c r="F5" s="14" t="s">
        <v>364</v>
      </c>
      <c r="G5" s="192" t="s">
        <v>82</v>
      </c>
      <c r="H5" s="192" t="s">
        <v>82</v>
      </c>
      <c r="I5" s="192" t="s">
        <v>82</v>
      </c>
    </row>
    <row r="6" spans="1:10" ht="19" thickBot="1" x14ac:dyDescent="0.3">
      <c r="B6" s="276" t="s">
        <v>361</v>
      </c>
      <c r="C6" s="53" t="s">
        <v>365</v>
      </c>
      <c r="D6" s="53" t="s">
        <v>365</v>
      </c>
      <c r="E6" s="53" t="s">
        <v>386</v>
      </c>
      <c r="F6" s="55" t="s">
        <v>386</v>
      </c>
      <c r="G6" s="203" t="s">
        <v>377</v>
      </c>
      <c r="H6" s="203" t="s">
        <v>378</v>
      </c>
      <c r="I6" s="203" t="s">
        <v>380</v>
      </c>
    </row>
    <row r="7" spans="1:10" x14ac:dyDescent="0.2">
      <c r="B7" s="46"/>
      <c r="C7" s="39"/>
      <c r="D7" s="39"/>
      <c r="E7" s="39"/>
      <c r="F7" s="47"/>
      <c r="G7" s="20"/>
      <c r="H7" s="20"/>
      <c r="I7" s="20"/>
    </row>
    <row r="8" spans="1:10" x14ac:dyDescent="0.2">
      <c r="B8" s="46">
        <v>0</v>
      </c>
      <c r="C8" s="275">
        <f>'5 No pre-adapt. X=5mg'!AA24</f>
        <v>1.9184833333333331</v>
      </c>
      <c r="D8" s="275">
        <f>'5 No pre-adapt. X=5mg'!AA25</f>
        <v>0.81989444444444448</v>
      </c>
      <c r="E8" s="275">
        <f>'5 No pre-adapt. X=5mg'!AB25*10^11</f>
        <v>7.5706314044768108</v>
      </c>
      <c r="F8" s="278">
        <f>'5 No pre-adapt. X=5mg'!AB24*10^11</f>
        <v>22.095573770491811</v>
      </c>
      <c r="G8" s="273">
        <f>'5 No pre-adapt. X=5mg'!T9</f>
        <v>1.1289314163107953</v>
      </c>
      <c r="H8" s="273">
        <f>'5 No pre-adapt. X=5mg'!T10</f>
        <v>1.063090101946649</v>
      </c>
      <c r="I8" s="273">
        <f>'5 No pre-adapt. X=5mg'!T11</f>
        <v>0.26527590719999983</v>
      </c>
      <c r="J8" s="29"/>
    </row>
    <row r="9" spans="1:10" x14ac:dyDescent="0.2">
      <c r="B9" s="46">
        <v>30</v>
      </c>
      <c r="C9" s="275">
        <f>'7 30% adapt. X=5mg'!AA22</f>
        <v>2.4014499999999996</v>
      </c>
      <c r="D9" s="275">
        <f>'7 30% adapt. X=5mg'!AA23</f>
        <v>1.1699666666666666</v>
      </c>
      <c r="E9" s="275">
        <f>'7 30% adapt. X=5mg'!AB23*10^11</f>
        <v>1.4816072175492614</v>
      </c>
      <c r="F9" s="278">
        <f>'7 30% adapt. X=5mg'!AB22*10^11</f>
        <v>6.4307249999999998</v>
      </c>
      <c r="G9" s="273">
        <f>'7 30% adapt. X=5mg'!T9</f>
        <v>1.2053513673770673</v>
      </c>
      <c r="H9" s="273">
        <f>'7 30% adapt. X=5mg'!T10</f>
        <v>1.2913122069367036</v>
      </c>
      <c r="I9" s="273">
        <f>'7 30% adapt. X=5mg'!T11</f>
        <v>0.25965536399999989</v>
      </c>
    </row>
    <row r="10" spans="1:10" ht="16" thickBot="1" x14ac:dyDescent="0.25">
      <c r="B10" s="31">
        <v>40</v>
      </c>
      <c r="C10" s="280">
        <f>'9 40% adapt., X=5mg'!AA22</f>
        <v>2.3458944444444443</v>
      </c>
      <c r="D10" s="280">
        <f>'9 40% adapt., X=5mg'!AA23</f>
        <v>1.1761766666666669</v>
      </c>
      <c r="E10" s="280">
        <f>'9 40% adapt., X=5mg'!AB23*10^11</f>
        <v>20.690892456180585</v>
      </c>
      <c r="F10" s="281">
        <f>'9 40% adapt., X=5mg'!AB22*10^11</f>
        <v>67.634999999999991</v>
      </c>
      <c r="G10" s="282">
        <f>'9 40% adapt., X=5mg'!T9</f>
        <v>1.1516069741059967</v>
      </c>
      <c r="H10" s="282">
        <f>'9 40% adapt., X=5mg'!T10</f>
        <v>1.1724637996799749</v>
      </c>
      <c r="I10" s="282">
        <f>'9 40% adapt., X=5mg'!T11</f>
        <v>0.26278158959999981</v>
      </c>
    </row>
    <row r="11" spans="1:10" x14ac:dyDescent="0.2">
      <c r="B11" s="39"/>
      <c r="C11" s="39"/>
      <c r="D11" s="39"/>
      <c r="E11" s="39"/>
      <c r="F11" s="39"/>
    </row>
    <row r="12" spans="1:10" x14ac:dyDescent="0.2">
      <c r="B12" s="39"/>
      <c r="C12" s="39"/>
      <c r="D12" s="39"/>
      <c r="E12" s="39"/>
      <c r="F12" s="39"/>
    </row>
    <row r="13" spans="1:10" x14ac:dyDescent="0.2">
      <c r="B13" s="191" t="s">
        <v>366</v>
      </c>
    </row>
    <row r="14" spans="1:10" ht="16" thickBot="1" x14ac:dyDescent="0.25"/>
    <row r="15" spans="1:10" x14ac:dyDescent="0.2">
      <c r="B15" s="18" t="s">
        <v>360</v>
      </c>
      <c r="C15" s="43" t="s">
        <v>387</v>
      </c>
      <c r="D15" s="33" t="s">
        <v>388</v>
      </c>
      <c r="E15" s="33" t="s">
        <v>389</v>
      </c>
      <c r="F15" s="34" t="s">
        <v>390</v>
      </c>
      <c r="G15" s="192" t="s">
        <v>82</v>
      </c>
      <c r="H15" s="192" t="s">
        <v>82</v>
      </c>
      <c r="I15" s="192" t="s">
        <v>82</v>
      </c>
    </row>
    <row r="16" spans="1:10" ht="19" thickBot="1" x14ac:dyDescent="0.3">
      <c r="B16" s="276" t="s">
        <v>361</v>
      </c>
      <c r="C16" s="61" t="s">
        <v>365</v>
      </c>
      <c r="D16" s="53" t="s">
        <v>365</v>
      </c>
      <c r="E16" s="53" t="s">
        <v>386</v>
      </c>
      <c r="F16" s="55" t="s">
        <v>386</v>
      </c>
      <c r="G16" s="193" t="s">
        <v>376</v>
      </c>
      <c r="H16" s="193" t="s">
        <v>379</v>
      </c>
      <c r="I16" s="193" t="s">
        <v>380</v>
      </c>
    </row>
    <row r="17" spans="2:10" x14ac:dyDescent="0.2">
      <c r="B17" s="30"/>
      <c r="C17" s="39"/>
      <c r="D17" s="39"/>
      <c r="E17" s="39"/>
      <c r="F17" s="39"/>
      <c r="G17" s="22"/>
      <c r="H17" s="22"/>
      <c r="I17" s="22"/>
    </row>
    <row r="18" spans="2:10" x14ac:dyDescent="0.2">
      <c r="B18" s="46">
        <v>0</v>
      </c>
      <c r="C18" s="169">
        <f>'6 No pre-adapt. X=10mg'!X65</f>
        <v>1.9258916666666668</v>
      </c>
      <c r="D18" s="169">
        <f>'6 No pre-adapt. X=10mg'!X66</f>
        <v>1.1080254166666668</v>
      </c>
      <c r="E18" s="169">
        <f>'6 No pre-adapt. X=10mg'!Z66</f>
        <v>0.51736192157940464</v>
      </c>
      <c r="F18" s="169">
        <f>'6 No pre-adapt. X=10mg'!Z65</f>
        <v>1.1858367761299438</v>
      </c>
      <c r="G18" s="273">
        <f>AVERAGE('6 No pre-adapt. X=10mg'!T13,'6 No pre-adapt. X=10mg'!T43)</f>
        <v>1.2319705019527507</v>
      </c>
      <c r="H18" s="273">
        <f>AVERAGE('6 No pre-adapt. X=10mg'!T44,'6 No pre-adapt. X=10mg'!T14)</f>
        <v>1.2395933530858574</v>
      </c>
      <c r="I18" s="273">
        <f>AVERAGE('6 No pre-adapt. X=10mg'!T15,'6 No pre-adapt. X=10mg'!T45)</f>
        <v>0.27314551799999987</v>
      </c>
    </row>
    <row r="19" spans="2:10" ht="16.5" customHeight="1" x14ac:dyDescent="0.2">
      <c r="B19" s="46">
        <v>30</v>
      </c>
      <c r="C19" s="274">
        <f>'8 30% adapt. X=10'!X65</f>
        <v>2.8311333333333333</v>
      </c>
      <c r="D19" s="275">
        <f>'8 30% adapt. X=10'!X66</f>
        <v>1.7432433333333333</v>
      </c>
      <c r="E19" s="275">
        <f>'8 30% adapt. X=10'!Z66</f>
        <v>1.1118306526681323</v>
      </c>
      <c r="F19" s="275">
        <f>'8 30% adapt. X=10'!Z65</f>
        <v>2.8012137167040079</v>
      </c>
      <c r="G19" s="227">
        <f>AVERAGE('8 30% adapt. X=10'!T43,'8 30% adapt. X=10'!T13)</f>
        <v>1.0230703909291643</v>
      </c>
      <c r="H19" s="227">
        <f>AVERAGE('8 30% adapt. X=10'!T14,'8 30% adapt. X=10'!T44)</f>
        <v>1.1047406444584904</v>
      </c>
      <c r="I19" s="227">
        <f>AVERAGE('8 30% adapt. X=10'!T45,'8 30% adapt. X=10'!T15)</f>
        <v>0.26807186879999984</v>
      </c>
      <c r="J19" s="29"/>
    </row>
    <row r="20" spans="2:10" ht="16.5" customHeight="1" x14ac:dyDescent="0.2">
      <c r="B20" s="46">
        <v>40</v>
      </c>
      <c r="C20" s="275">
        <f>'10 40% adapt. X=10mg'!AA22</f>
        <v>1.9066833333333333</v>
      </c>
      <c r="D20" s="275">
        <f>'10 40% adapt. X=10mg'!AA23</f>
        <v>1.2328208333333333</v>
      </c>
      <c r="E20" s="275">
        <f>'10 40% adapt. X=10mg'!AB23*10^11</f>
        <v>2.0643864039164961</v>
      </c>
      <c r="F20" s="275">
        <f>'10 40% adapt. X=10mg'!AB23*10^11</f>
        <v>2.0643864039164961</v>
      </c>
      <c r="G20" s="227">
        <f>'10 40% adapt. X=10mg'!T9</f>
        <v>0.96779558382766318</v>
      </c>
      <c r="H20" s="227">
        <f>'10 40% adapt. X=10mg'!T10</f>
        <v>1.0109404155162902</v>
      </c>
      <c r="I20" s="227">
        <f>'10 40% adapt. X=10mg'!T11</f>
        <v>0.2668698719999999</v>
      </c>
    </row>
    <row r="21" spans="2:10" ht="16" thickBot="1" x14ac:dyDescent="0.25">
      <c r="B21" s="31">
        <v>50</v>
      </c>
      <c r="C21" s="272">
        <f>'11 50% adapt. X=10mg'!X65</f>
        <v>2.0368249999999999</v>
      </c>
      <c r="D21" s="238">
        <f>'11 50% adapt. X=10mg'!X66</f>
        <v>1.1853750000000001</v>
      </c>
      <c r="E21" s="238">
        <f>'11 50% adapt. X=10mg'!Z66</f>
        <v>1.1467241370140633</v>
      </c>
      <c r="F21" s="238">
        <f>'11 50% adapt. X=10mg'!Z65</f>
        <v>4.0261913970588239</v>
      </c>
      <c r="G21" s="228">
        <f>AVERAGE('11 50% adapt. X=10mg'!T43,'11 50% adapt. X=10mg'!T13)</f>
        <v>0.82954196829378379</v>
      </c>
      <c r="H21" s="228">
        <f>AVERAGE('11 50% adapt. X=10mg'!T14,'11 50% adapt. X=10mg'!T44)</f>
        <v>0.8691666494246284</v>
      </c>
      <c r="I21" s="228">
        <f>AVERAGE('11 50% adapt. X=10mg'!T15,'11 50% adapt. X=10mg'!T45)</f>
        <v>0.25530842527199987</v>
      </c>
    </row>
    <row r="24" spans="2:10" x14ac:dyDescent="0.2">
      <c r="D24" s="312"/>
      <c r="E24" s="31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A17:L23"/>
  <sheetViews>
    <sheetView workbookViewId="0">
      <selection activeCell="I19" sqref="I19"/>
    </sheetView>
  </sheetViews>
  <sheetFormatPr baseColWidth="10" defaultColWidth="9.1640625" defaultRowHeight="15" x14ac:dyDescent="0.2"/>
  <cols>
    <col min="1" max="16384" width="9.1640625" style="11"/>
  </cols>
  <sheetData>
    <row r="17" spans="1:12" x14ac:dyDescent="0.2">
      <c r="A17" s="11" t="s">
        <v>400</v>
      </c>
      <c r="L17" s="11" t="s">
        <v>404</v>
      </c>
    </row>
    <row r="18" spans="1:12" ht="17" x14ac:dyDescent="0.25">
      <c r="A18" s="11" t="s">
        <v>401</v>
      </c>
      <c r="L18" s="11" t="s">
        <v>410</v>
      </c>
    </row>
    <row r="19" spans="1:12" x14ac:dyDescent="0.2">
      <c r="A19" s="11" t="s">
        <v>402</v>
      </c>
      <c r="L19" s="11" t="s">
        <v>405</v>
      </c>
    </row>
    <row r="20" spans="1:12" x14ac:dyDescent="0.2">
      <c r="A20" s="11" t="s">
        <v>403</v>
      </c>
      <c r="L20" s="11" t="s">
        <v>406</v>
      </c>
    </row>
    <row r="21" spans="1:12" x14ac:dyDescent="0.2">
      <c r="A21" s="11" t="s">
        <v>411</v>
      </c>
      <c r="L21" s="11" t="s">
        <v>407</v>
      </c>
    </row>
    <row r="22" spans="1:12" x14ac:dyDescent="0.2">
      <c r="A22" s="11" t="s">
        <v>412</v>
      </c>
      <c r="L22" s="11" t="s">
        <v>408</v>
      </c>
    </row>
    <row r="23" spans="1:12" x14ac:dyDescent="0.2">
      <c r="L23" s="11" t="s">
        <v>409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U71"/>
  <sheetViews>
    <sheetView topLeftCell="K1" workbookViewId="0">
      <selection activeCell="M61" sqref="M61"/>
    </sheetView>
  </sheetViews>
  <sheetFormatPr baseColWidth="10" defaultColWidth="12" defaultRowHeight="16" x14ac:dyDescent="0.2"/>
  <cols>
    <col min="1" max="1" width="12" style="71"/>
    <col min="2" max="2" width="9.83203125" style="71" customWidth="1"/>
    <col min="3" max="3" width="16.83203125" style="71" bestFit="1" customWidth="1"/>
    <col min="4" max="4" width="18.83203125" style="71" customWidth="1"/>
    <col min="5" max="5" width="10.83203125" style="71" customWidth="1"/>
    <col min="6" max="6" width="18.33203125" style="71" bestFit="1" customWidth="1"/>
    <col min="7" max="7" width="16.5" style="71" customWidth="1"/>
    <col min="8" max="8" width="11.6640625" style="71" customWidth="1"/>
    <col min="9" max="9" width="22.5" style="71" bestFit="1" customWidth="1"/>
    <col min="10" max="10" width="17.5" style="71" bestFit="1" customWidth="1"/>
    <col min="11" max="11" width="1.83203125" style="71" customWidth="1"/>
    <col min="12" max="12" width="24.6640625" style="71" bestFit="1" customWidth="1"/>
    <col min="13" max="13" width="22.5" style="71" bestFit="1" customWidth="1"/>
    <col min="14" max="14" width="24.6640625" style="71" bestFit="1" customWidth="1"/>
    <col min="15" max="15" width="22.5" style="71" bestFit="1" customWidth="1"/>
    <col min="16" max="16" width="24.6640625" style="71" bestFit="1" customWidth="1"/>
    <col min="17" max="17" width="22.5" style="71" bestFit="1" customWidth="1"/>
    <col min="18" max="16384" width="12" style="71"/>
  </cols>
  <sheetData>
    <row r="1" spans="1:21" s="66" customFormat="1" ht="68" x14ac:dyDescent="0.2">
      <c r="A1" s="66" t="s">
        <v>124</v>
      </c>
      <c r="B1" s="66" t="s">
        <v>125</v>
      </c>
      <c r="C1" s="66" t="s">
        <v>126</v>
      </c>
      <c r="D1" s="67" t="s">
        <v>226</v>
      </c>
      <c r="E1" s="66" t="s">
        <v>227</v>
      </c>
      <c r="F1" s="66" t="s">
        <v>127</v>
      </c>
      <c r="G1" s="67" t="s">
        <v>229</v>
      </c>
      <c r="H1" s="67" t="s">
        <v>228</v>
      </c>
      <c r="I1" s="67" t="s">
        <v>230</v>
      </c>
      <c r="J1" s="67" t="s">
        <v>231</v>
      </c>
      <c r="K1" s="67"/>
      <c r="L1" s="67" t="s">
        <v>233</v>
      </c>
      <c r="M1" s="67" t="s">
        <v>232</v>
      </c>
      <c r="N1" s="67" t="s">
        <v>234</v>
      </c>
      <c r="O1" s="67" t="s">
        <v>235</v>
      </c>
      <c r="P1" s="67" t="s">
        <v>236</v>
      </c>
      <c r="Q1" s="67" t="s">
        <v>237</v>
      </c>
    </row>
    <row r="2" spans="1:21" s="68" customFormat="1" x14ac:dyDescent="0.2">
      <c r="A2" s="68">
        <v>1</v>
      </c>
      <c r="B2" s="68">
        <v>14</v>
      </c>
      <c r="C2" s="69">
        <v>42832</v>
      </c>
      <c r="D2" s="68" t="s">
        <v>128</v>
      </c>
      <c r="E2" s="68" t="s">
        <v>128</v>
      </c>
      <c r="F2" s="68" t="s">
        <v>129</v>
      </c>
      <c r="G2" s="68" t="s">
        <v>128</v>
      </c>
      <c r="H2" s="70">
        <v>13.86</v>
      </c>
      <c r="I2" s="70">
        <v>16.43</v>
      </c>
      <c r="J2" s="70">
        <f>I2-H2</f>
        <v>2.5700000000000003</v>
      </c>
      <c r="K2" s="70"/>
      <c r="L2" s="68" t="s">
        <v>130</v>
      </c>
      <c r="M2" s="70">
        <v>60</v>
      </c>
      <c r="N2" s="68" t="s">
        <v>131</v>
      </c>
      <c r="O2" s="70">
        <v>59.8</v>
      </c>
      <c r="P2" s="68" t="s">
        <v>132</v>
      </c>
      <c r="Q2" s="70">
        <v>60.1</v>
      </c>
    </row>
    <row r="3" spans="1:21" s="68" customFormat="1" x14ac:dyDescent="0.2">
      <c r="A3" s="68">
        <v>2</v>
      </c>
      <c r="B3" s="68" t="s">
        <v>133</v>
      </c>
      <c r="C3" s="68" t="s">
        <v>133</v>
      </c>
      <c r="D3" s="68" t="s">
        <v>133</v>
      </c>
      <c r="E3" s="68" t="s">
        <v>133</v>
      </c>
      <c r="F3" s="68" t="s">
        <v>134</v>
      </c>
      <c r="G3" s="68" t="s">
        <v>133</v>
      </c>
      <c r="H3" s="70">
        <v>13.92</v>
      </c>
      <c r="I3" s="70">
        <v>16.510000000000002</v>
      </c>
      <c r="J3" s="70">
        <f>I3-H3</f>
        <v>2.5900000000000016</v>
      </c>
      <c r="K3" s="70"/>
      <c r="L3" s="68" t="s">
        <v>135</v>
      </c>
      <c r="M3" s="70">
        <v>60</v>
      </c>
      <c r="N3" s="68" t="s">
        <v>136</v>
      </c>
      <c r="O3" s="70">
        <v>60.1</v>
      </c>
      <c r="P3" s="68" t="s">
        <v>137</v>
      </c>
      <c r="Q3" s="70">
        <v>59.9</v>
      </c>
    </row>
    <row r="4" spans="1:21" s="68" customFormat="1" x14ac:dyDescent="0.2">
      <c r="A4" s="68">
        <v>3</v>
      </c>
      <c r="B4" s="68" t="s">
        <v>133</v>
      </c>
      <c r="C4" s="68" t="s">
        <v>133</v>
      </c>
      <c r="D4" s="68" t="s">
        <v>133</v>
      </c>
      <c r="E4" s="68" t="s">
        <v>133</v>
      </c>
      <c r="F4" s="68" t="s">
        <v>138</v>
      </c>
      <c r="G4" s="68" t="s">
        <v>133</v>
      </c>
      <c r="H4" s="70">
        <v>13.83</v>
      </c>
      <c r="I4" s="70">
        <v>16.489999999999998</v>
      </c>
      <c r="J4" s="70">
        <f>I4-H4</f>
        <v>2.6599999999999984</v>
      </c>
      <c r="K4" s="70"/>
      <c r="L4" s="68" t="s">
        <v>139</v>
      </c>
      <c r="M4" s="70">
        <v>60</v>
      </c>
      <c r="N4" s="68" t="s">
        <v>140</v>
      </c>
      <c r="O4" s="70">
        <v>60.2</v>
      </c>
      <c r="P4" s="68" t="s">
        <v>141</v>
      </c>
      <c r="Q4" s="70">
        <v>60.2</v>
      </c>
    </row>
    <row r="5" spans="1:21" x14ac:dyDescent="0.2">
      <c r="H5" s="72"/>
      <c r="I5" s="72"/>
      <c r="J5" s="72"/>
      <c r="K5" s="72"/>
      <c r="L5" s="72"/>
      <c r="M5" s="72"/>
      <c r="N5" s="72"/>
      <c r="O5" s="72"/>
      <c r="Q5" s="72"/>
    </row>
    <row r="6" spans="1:21" x14ac:dyDescent="0.2">
      <c r="H6" s="72"/>
      <c r="I6" s="72"/>
      <c r="J6" s="72"/>
      <c r="K6" s="72"/>
      <c r="L6" s="72"/>
      <c r="M6" s="72"/>
      <c r="N6" s="72"/>
      <c r="O6" s="72"/>
      <c r="Q6" s="72"/>
    </row>
    <row r="7" spans="1:21" s="73" customFormat="1" x14ac:dyDescent="0.2">
      <c r="A7" s="73">
        <v>1</v>
      </c>
      <c r="B7" s="73">
        <v>4</v>
      </c>
      <c r="C7" s="74">
        <v>42762</v>
      </c>
      <c r="D7" s="73">
        <v>0</v>
      </c>
      <c r="E7" s="73" t="s">
        <v>142</v>
      </c>
      <c r="F7" s="73" t="s">
        <v>143</v>
      </c>
      <c r="G7" s="73">
        <v>5</v>
      </c>
      <c r="H7" s="75">
        <v>13.81</v>
      </c>
      <c r="I7" s="75">
        <v>15.37</v>
      </c>
      <c r="J7" s="75">
        <f>I7-H7</f>
        <v>1.5599999999999987</v>
      </c>
      <c r="K7" s="75"/>
      <c r="L7" s="73" t="s">
        <v>25</v>
      </c>
      <c r="M7" s="75">
        <v>60</v>
      </c>
      <c r="N7" s="73" t="s">
        <v>26</v>
      </c>
      <c r="O7" s="75">
        <v>60.5</v>
      </c>
      <c r="P7" s="73" t="s">
        <v>27</v>
      </c>
      <c r="Q7" s="75">
        <v>60.3</v>
      </c>
    </row>
    <row r="8" spans="1:21" s="73" customFormat="1" x14ac:dyDescent="0.2">
      <c r="A8" s="73">
        <v>2</v>
      </c>
      <c r="B8" s="73" t="s">
        <v>133</v>
      </c>
      <c r="C8" s="73" t="s">
        <v>133</v>
      </c>
      <c r="D8" s="73" t="s">
        <v>133</v>
      </c>
      <c r="E8" s="73" t="s">
        <v>133</v>
      </c>
      <c r="F8" s="73" t="s">
        <v>144</v>
      </c>
      <c r="G8" s="73" t="s">
        <v>133</v>
      </c>
      <c r="H8" s="75">
        <v>13.89</v>
      </c>
      <c r="I8" s="75">
        <v>15.43</v>
      </c>
      <c r="J8" s="75">
        <f>I8-H8</f>
        <v>1.5399999999999991</v>
      </c>
      <c r="K8" s="75"/>
      <c r="L8" s="73" t="s">
        <v>28</v>
      </c>
      <c r="M8" s="75">
        <v>59.9</v>
      </c>
      <c r="N8" s="73" t="s">
        <v>29</v>
      </c>
      <c r="O8" s="75">
        <v>60</v>
      </c>
      <c r="P8" s="73" t="s">
        <v>30</v>
      </c>
      <c r="Q8" s="75">
        <v>60</v>
      </c>
    </row>
    <row r="9" spans="1:21" s="73" customFormat="1" x14ac:dyDescent="0.2">
      <c r="A9" s="73">
        <v>3</v>
      </c>
      <c r="B9" s="73" t="s">
        <v>133</v>
      </c>
      <c r="C9" s="73" t="s">
        <v>133</v>
      </c>
      <c r="D9" s="73" t="s">
        <v>133</v>
      </c>
      <c r="E9" s="73" t="s">
        <v>133</v>
      </c>
      <c r="F9" s="73" t="s">
        <v>145</v>
      </c>
      <c r="G9" s="73" t="s">
        <v>133</v>
      </c>
      <c r="H9" s="75">
        <v>13.89</v>
      </c>
      <c r="I9" s="75">
        <v>15.42</v>
      </c>
      <c r="J9" s="75">
        <f>I9-H9</f>
        <v>1.5299999999999994</v>
      </c>
      <c r="K9" s="75"/>
      <c r="L9" s="73" t="s">
        <v>31</v>
      </c>
      <c r="M9" s="75">
        <v>60.1</v>
      </c>
      <c r="N9" s="73" t="s">
        <v>32</v>
      </c>
      <c r="O9" s="75">
        <v>60</v>
      </c>
      <c r="P9" s="73" t="s">
        <v>33</v>
      </c>
      <c r="Q9" s="76">
        <v>60</v>
      </c>
    </row>
    <row r="10" spans="1:21" x14ac:dyDescent="0.2">
      <c r="H10" s="72"/>
      <c r="I10" s="72"/>
      <c r="J10" s="72"/>
      <c r="K10" s="72"/>
      <c r="L10" s="72"/>
      <c r="M10" s="72"/>
      <c r="N10" s="72"/>
      <c r="O10" s="72"/>
      <c r="Q10" s="72"/>
    </row>
    <row r="11" spans="1:21" s="77" customFormat="1" x14ac:dyDescent="0.2">
      <c r="A11" s="77">
        <v>1</v>
      </c>
      <c r="B11" s="77">
        <v>9</v>
      </c>
      <c r="C11" s="78">
        <v>42797</v>
      </c>
      <c r="D11" s="77">
        <v>0</v>
      </c>
      <c r="E11" s="77" t="s">
        <v>142</v>
      </c>
      <c r="F11" s="77" t="s">
        <v>146</v>
      </c>
      <c r="G11" s="77">
        <v>10</v>
      </c>
      <c r="H11" s="79">
        <v>13.89</v>
      </c>
      <c r="I11" s="79">
        <v>15.54</v>
      </c>
      <c r="J11" s="79">
        <f>I11-H11</f>
        <v>1.6499999999999986</v>
      </c>
      <c r="K11" s="79"/>
      <c r="L11" s="77" t="s">
        <v>147</v>
      </c>
      <c r="M11" s="79">
        <v>59.9</v>
      </c>
      <c r="N11" s="77" t="s">
        <v>148</v>
      </c>
      <c r="O11" s="79">
        <v>60.2</v>
      </c>
      <c r="P11" s="77" t="s">
        <v>149</v>
      </c>
      <c r="Q11" s="79">
        <v>60.1</v>
      </c>
    </row>
    <row r="12" spans="1:21" s="77" customFormat="1" x14ac:dyDescent="0.2">
      <c r="A12" s="77">
        <v>2</v>
      </c>
      <c r="B12" s="77" t="s">
        <v>133</v>
      </c>
      <c r="C12" s="77" t="s">
        <v>133</v>
      </c>
      <c r="D12" s="77" t="s">
        <v>133</v>
      </c>
      <c r="E12" s="77" t="s">
        <v>133</v>
      </c>
      <c r="F12" s="77" t="s">
        <v>150</v>
      </c>
      <c r="G12" s="77" t="s">
        <v>133</v>
      </c>
      <c r="H12" s="79">
        <v>13.91</v>
      </c>
      <c r="I12" s="79">
        <v>15.59</v>
      </c>
      <c r="J12" s="79">
        <f>I12-H12</f>
        <v>1.6799999999999997</v>
      </c>
      <c r="K12" s="79"/>
      <c r="L12" s="77" t="s">
        <v>151</v>
      </c>
      <c r="M12" s="79">
        <v>60.1</v>
      </c>
      <c r="N12" s="77" t="s">
        <v>152</v>
      </c>
      <c r="O12" s="79">
        <v>59.8</v>
      </c>
      <c r="P12" s="77" t="s">
        <v>153</v>
      </c>
      <c r="Q12" s="79">
        <v>60.2</v>
      </c>
    </row>
    <row r="13" spans="1:21" s="77" customFormat="1" x14ac:dyDescent="0.2">
      <c r="A13" s="77">
        <v>3</v>
      </c>
      <c r="B13" s="77" t="s">
        <v>133</v>
      </c>
      <c r="C13" s="77" t="s">
        <v>133</v>
      </c>
      <c r="D13" s="77" t="s">
        <v>133</v>
      </c>
      <c r="E13" s="77" t="s">
        <v>133</v>
      </c>
      <c r="F13" s="77" t="s">
        <v>154</v>
      </c>
      <c r="G13" s="77" t="s">
        <v>133</v>
      </c>
      <c r="H13" s="79">
        <v>13.89</v>
      </c>
      <c r="I13" s="79">
        <v>15.57</v>
      </c>
      <c r="J13" s="79">
        <f>I13-H13</f>
        <v>1.6799999999999997</v>
      </c>
      <c r="K13" s="79"/>
      <c r="L13" s="77" t="s">
        <v>155</v>
      </c>
      <c r="M13" s="79">
        <v>60.2</v>
      </c>
      <c r="N13" s="77" t="s">
        <v>156</v>
      </c>
      <c r="O13" s="79">
        <v>60</v>
      </c>
      <c r="P13" s="77" t="s">
        <v>157</v>
      </c>
      <c r="Q13" s="79">
        <v>60.2</v>
      </c>
    </row>
    <row r="14" spans="1:21" x14ac:dyDescent="0.2">
      <c r="H14" s="72"/>
      <c r="I14" s="72"/>
      <c r="J14" s="72"/>
      <c r="K14" s="72"/>
      <c r="L14" s="72"/>
      <c r="M14" s="72"/>
      <c r="N14" s="72"/>
      <c r="O14" s="72"/>
      <c r="Q14" s="72"/>
    </row>
    <row r="15" spans="1:21" s="77" customFormat="1" x14ac:dyDescent="0.2">
      <c r="A15" s="77">
        <v>1</v>
      </c>
      <c r="B15" s="77">
        <v>14</v>
      </c>
      <c r="C15" s="78">
        <v>42832</v>
      </c>
      <c r="D15" s="77">
        <v>0</v>
      </c>
      <c r="E15" s="77" t="s">
        <v>142</v>
      </c>
      <c r="F15" s="77" t="s">
        <v>158</v>
      </c>
      <c r="G15" s="77">
        <v>10</v>
      </c>
      <c r="H15" s="79">
        <v>13.91</v>
      </c>
      <c r="I15" s="79">
        <v>15.61</v>
      </c>
      <c r="J15" s="79">
        <f>I15-H15</f>
        <v>1.6999999999999993</v>
      </c>
      <c r="K15" s="79"/>
      <c r="L15" s="80" t="s">
        <v>159</v>
      </c>
      <c r="M15" s="79">
        <v>60.1</v>
      </c>
      <c r="N15" s="80" t="s">
        <v>159</v>
      </c>
      <c r="O15" s="79">
        <v>59.8</v>
      </c>
      <c r="P15" s="80" t="s">
        <v>160</v>
      </c>
      <c r="Q15" s="79">
        <v>60.4</v>
      </c>
      <c r="R15" s="80"/>
      <c r="S15" s="80"/>
      <c r="T15" s="80"/>
      <c r="U15" s="80"/>
    </row>
    <row r="16" spans="1:21" s="77" customFormat="1" x14ac:dyDescent="0.2">
      <c r="A16" s="77">
        <v>2</v>
      </c>
      <c r="B16" s="77" t="s">
        <v>133</v>
      </c>
      <c r="C16" s="77" t="s">
        <v>133</v>
      </c>
      <c r="D16" s="77" t="s">
        <v>133</v>
      </c>
      <c r="E16" s="77" t="s">
        <v>133</v>
      </c>
      <c r="F16" s="77" t="s">
        <v>161</v>
      </c>
      <c r="G16" s="77" t="s">
        <v>133</v>
      </c>
      <c r="H16" s="79">
        <v>13.82</v>
      </c>
      <c r="I16" s="79">
        <v>15.55</v>
      </c>
      <c r="J16" s="79">
        <f>I16-H16</f>
        <v>1.7300000000000004</v>
      </c>
      <c r="K16" s="79"/>
      <c r="L16" s="80" t="s">
        <v>159</v>
      </c>
      <c r="M16" s="79">
        <v>60</v>
      </c>
      <c r="N16" s="80" t="s">
        <v>162</v>
      </c>
      <c r="O16" s="79">
        <v>60</v>
      </c>
      <c r="P16" s="80" t="s">
        <v>163</v>
      </c>
      <c r="Q16" s="79">
        <v>60</v>
      </c>
      <c r="R16" s="80"/>
      <c r="S16" s="80"/>
      <c r="T16" s="80"/>
      <c r="U16" s="80"/>
    </row>
    <row r="17" spans="1:21" s="77" customFormat="1" x14ac:dyDescent="0.2">
      <c r="A17" s="77">
        <v>3</v>
      </c>
      <c r="B17" s="77" t="s">
        <v>133</v>
      </c>
      <c r="C17" s="77" t="s">
        <v>133</v>
      </c>
      <c r="D17" s="77" t="s">
        <v>133</v>
      </c>
      <c r="E17" s="77" t="s">
        <v>133</v>
      </c>
      <c r="F17" s="77" t="s">
        <v>164</v>
      </c>
      <c r="G17" s="77" t="s">
        <v>133</v>
      </c>
      <c r="H17" s="79">
        <v>13.83</v>
      </c>
      <c r="I17" s="79">
        <v>15.62</v>
      </c>
      <c r="J17" s="79">
        <f>I17-H17</f>
        <v>1.7899999999999991</v>
      </c>
      <c r="K17" s="79"/>
      <c r="L17" s="80" t="s">
        <v>165</v>
      </c>
      <c r="M17" s="79">
        <v>59.9</v>
      </c>
      <c r="N17" s="80" t="s">
        <v>166</v>
      </c>
      <c r="O17" s="79">
        <v>59.8</v>
      </c>
      <c r="P17" s="80" t="s">
        <v>167</v>
      </c>
      <c r="Q17" s="79">
        <v>60</v>
      </c>
      <c r="R17" s="80"/>
      <c r="S17" s="80"/>
      <c r="T17" s="80"/>
      <c r="U17" s="80"/>
    </row>
    <row r="18" spans="1:21" s="81" customFormat="1" x14ac:dyDescent="0.2">
      <c r="H18" s="82"/>
      <c r="I18" s="82"/>
      <c r="J18" s="82"/>
      <c r="K18" s="82"/>
      <c r="L18" s="83"/>
      <c r="M18" s="82"/>
      <c r="N18" s="83"/>
      <c r="O18" s="82"/>
      <c r="P18" s="83"/>
      <c r="Q18" s="82"/>
      <c r="R18" s="83"/>
      <c r="S18" s="83"/>
      <c r="T18" s="83"/>
      <c r="U18" s="83"/>
    </row>
    <row r="19" spans="1:21" x14ac:dyDescent="0.2">
      <c r="H19" s="72"/>
      <c r="I19" s="72"/>
      <c r="K19" s="72"/>
      <c r="L19" s="72"/>
      <c r="M19" s="72" t="s">
        <v>413</v>
      </c>
      <c r="N19" s="72"/>
      <c r="O19" s="72"/>
      <c r="Q19" s="72"/>
    </row>
    <row r="20" spans="1:21" s="87" customFormat="1" x14ac:dyDescent="0.2">
      <c r="A20" s="84">
        <v>1</v>
      </c>
      <c r="B20" s="84">
        <v>19</v>
      </c>
      <c r="C20" s="85">
        <v>42864</v>
      </c>
      <c r="D20" s="84" t="s">
        <v>128</v>
      </c>
      <c r="E20" s="84" t="s">
        <v>128</v>
      </c>
      <c r="F20" s="84" t="s">
        <v>168</v>
      </c>
      <c r="G20" s="84" t="s">
        <v>128</v>
      </c>
      <c r="H20" s="84" t="s">
        <v>128</v>
      </c>
      <c r="I20" s="84" t="s">
        <v>128</v>
      </c>
      <c r="J20" s="84" t="s">
        <v>128</v>
      </c>
      <c r="K20" s="86"/>
      <c r="L20" s="84" t="s">
        <v>169</v>
      </c>
      <c r="M20" s="86">
        <v>15.1</v>
      </c>
      <c r="N20" s="81"/>
      <c r="O20" s="82"/>
      <c r="P20" s="81"/>
      <c r="Q20" s="82"/>
    </row>
    <row r="21" spans="1:21" s="87" customFormat="1" x14ac:dyDescent="0.2">
      <c r="A21" s="84">
        <v>2</v>
      </c>
      <c r="B21" s="84" t="s">
        <v>133</v>
      </c>
      <c r="C21" s="84" t="s">
        <v>133</v>
      </c>
      <c r="D21" s="84" t="s">
        <v>133</v>
      </c>
      <c r="E21" s="84" t="s">
        <v>133</v>
      </c>
      <c r="F21" s="84" t="s">
        <v>170</v>
      </c>
      <c r="G21" s="84" t="s">
        <v>133</v>
      </c>
      <c r="H21" s="84" t="s">
        <v>133</v>
      </c>
      <c r="I21" s="84" t="s">
        <v>133</v>
      </c>
      <c r="J21" s="84" t="s">
        <v>133</v>
      </c>
      <c r="K21" s="86"/>
      <c r="L21" s="84" t="s">
        <v>12</v>
      </c>
      <c r="M21" s="86">
        <v>15.1</v>
      </c>
      <c r="N21" s="81"/>
      <c r="O21" s="82"/>
      <c r="P21" s="81"/>
      <c r="Q21" s="82"/>
    </row>
    <row r="22" spans="1:21" s="87" customFormat="1" x14ac:dyDescent="0.2">
      <c r="A22" s="84">
        <v>3</v>
      </c>
      <c r="B22" s="84" t="s">
        <v>133</v>
      </c>
      <c r="C22" s="84" t="s">
        <v>133</v>
      </c>
      <c r="D22" s="84" t="s">
        <v>133</v>
      </c>
      <c r="E22" s="84" t="s">
        <v>133</v>
      </c>
      <c r="F22" s="84" t="s">
        <v>171</v>
      </c>
      <c r="G22" s="84" t="s">
        <v>133</v>
      </c>
      <c r="H22" s="84" t="s">
        <v>133</v>
      </c>
      <c r="I22" s="84" t="s">
        <v>133</v>
      </c>
      <c r="J22" s="84" t="s">
        <v>133</v>
      </c>
      <c r="K22" s="86"/>
      <c r="L22" s="84" t="s">
        <v>13</v>
      </c>
      <c r="M22" s="86">
        <v>15.2</v>
      </c>
      <c r="N22" s="81"/>
      <c r="O22" s="82"/>
      <c r="P22" s="81"/>
      <c r="Q22" s="82"/>
    </row>
    <row r="23" spans="1:21" s="87" customFormat="1" x14ac:dyDescent="0.2">
      <c r="A23" s="81"/>
      <c r="B23" s="81"/>
      <c r="C23" s="81"/>
      <c r="D23" s="81"/>
      <c r="E23" s="81"/>
      <c r="F23" s="81"/>
      <c r="G23" s="81"/>
      <c r="H23" s="82"/>
      <c r="I23" s="82"/>
      <c r="J23" s="82"/>
      <c r="K23" s="82"/>
      <c r="L23" s="81"/>
      <c r="M23" s="82"/>
      <c r="N23" s="81"/>
      <c r="O23" s="82"/>
      <c r="P23" s="81"/>
      <c r="Q23" s="82"/>
    </row>
    <row r="24" spans="1:21" x14ac:dyDescent="0.2">
      <c r="H24" s="72"/>
      <c r="I24" s="72"/>
      <c r="J24" s="72"/>
      <c r="K24" s="72"/>
      <c r="L24" s="72"/>
      <c r="M24" s="72"/>
      <c r="N24" s="72"/>
      <c r="O24" s="72"/>
      <c r="Q24" s="72"/>
    </row>
    <row r="25" spans="1:21" s="88" customFormat="1" x14ac:dyDescent="0.2">
      <c r="A25" s="88">
        <v>1</v>
      </c>
      <c r="B25" s="88">
        <v>14</v>
      </c>
      <c r="C25" s="89">
        <v>42832</v>
      </c>
      <c r="D25" s="88">
        <v>30</v>
      </c>
      <c r="E25" s="88" t="s">
        <v>142</v>
      </c>
      <c r="F25" s="88" t="s">
        <v>146</v>
      </c>
      <c r="G25" s="88">
        <v>5</v>
      </c>
      <c r="H25" s="90">
        <v>13.84</v>
      </c>
      <c r="I25" s="90">
        <v>15.61</v>
      </c>
      <c r="J25" s="90">
        <f>I25-H25</f>
        <v>1.7699999999999996</v>
      </c>
      <c r="K25" s="90"/>
      <c r="L25" s="88" t="s">
        <v>172</v>
      </c>
      <c r="M25" s="90">
        <v>60</v>
      </c>
      <c r="N25" s="88" t="s">
        <v>173</v>
      </c>
      <c r="O25" s="90">
        <v>60.1</v>
      </c>
      <c r="P25" s="88" t="s">
        <v>174</v>
      </c>
      <c r="Q25" s="90">
        <v>60</v>
      </c>
    </row>
    <row r="26" spans="1:21" s="88" customFormat="1" x14ac:dyDescent="0.2">
      <c r="A26" s="88">
        <v>2</v>
      </c>
      <c r="B26" s="88" t="s">
        <v>133</v>
      </c>
      <c r="C26" s="88" t="s">
        <v>133</v>
      </c>
      <c r="D26" s="88" t="s">
        <v>133</v>
      </c>
      <c r="E26" s="88" t="s">
        <v>133</v>
      </c>
      <c r="F26" s="88" t="s">
        <v>150</v>
      </c>
      <c r="G26" s="88" t="s">
        <v>133</v>
      </c>
      <c r="H26" s="90">
        <v>13.84</v>
      </c>
      <c r="I26" s="90">
        <v>15.64</v>
      </c>
      <c r="J26" s="90">
        <f>I26-H26</f>
        <v>1.8000000000000007</v>
      </c>
      <c r="K26" s="90"/>
      <c r="L26" s="88" t="s">
        <v>175</v>
      </c>
      <c r="M26" s="90">
        <v>60</v>
      </c>
      <c r="N26" s="88" t="s">
        <v>176</v>
      </c>
      <c r="O26" s="90">
        <v>60</v>
      </c>
      <c r="P26" s="88" t="s">
        <v>177</v>
      </c>
      <c r="Q26" s="90">
        <v>60</v>
      </c>
    </row>
    <row r="27" spans="1:21" s="88" customFormat="1" x14ac:dyDescent="0.2">
      <c r="A27" s="88">
        <v>3</v>
      </c>
      <c r="B27" s="88" t="s">
        <v>133</v>
      </c>
      <c r="C27" s="88" t="s">
        <v>133</v>
      </c>
      <c r="D27" s="88" t="s">
        <v>133</v>
      </c>
      <c r="E27" s="88" t="s">
        <v>133</v>
      </c>
      <c r="F27" s="88" t="s">
        <v>154</v>
      </c>
      <c r="G27" s="88" t="s">
        <v>133</v>
      </c>
      <c r="H27" s="90">
        <v>13.81</v>
      </c>
      <c r="I27" s="90">
        <v>15.6</v>
      </c>
      <c r="J27" s="90">
        <f>I27-H27</f>
        <v>1.7899999999999991</v>
      </c>
      <c r="K27" s="90"/>
      <c r="L27" s="88" t="s">
        <v>178</v>
      </c>
      <c r="M27" s="90">
        <v>60.1</v>
      </c>
      <c r="N27" s="88" t="s">
        <v>179</v>
      </c>
      <c r="O27" s="91">
        <v>60</v>
      </c>
      <c r="P27" s="88" t="s">
        <v>180</v>
      </c>
      <c r="Q27" s="91">
        <v>60</v>
      </c>
    </row>
    <row r="28" spans="1:21" x14ac:dyDescent="0.2">
      <c r="H28" s="72"/>
      <c r="I28" s="72"/>
      <c r="J28" s="72"/>
      <c r="K28" s="72"/>
      <c r="L28" s="72"/>
      <c r="M28" s="72"/>
      <c r="N28" s="72"/>
      <c r="O28" s="72"/>
      <c r="Q28" s="72"/>
    </row>
    <row r="29" spans="1:21" s="92" customFormat="1" x14ac:dyDescent="0.2">
      <c r="A29" s="92">
        <v>1</v>
      </c>
      <c r="B29" s="92">
        <v>14</v>
      </c>
      <c r="C29" s="93">
        <v>42832</v>
      </c>
      <c r="D29" s="92">
        <v>30</v>
      </c>
      <c r="E29" s="92" t="s">
        <v>142</v>
      </c>
      <c r="F29" s="92" t="s">
        <v>181</v>
      </c>
      <c r="G29" s="92">
        <v>10</v>
      </c>
      <c r="H29" s="94">
        <v>13.92</v>
      </c>
      <c r="I29" s="94">
        <v>15.8</v>
      </c>
      <c r="J29" s="94">
        <f>I29-H29</f>
        <v>1.8800000000000008</v>
      </c>
      <c r="K29" s="94"/>
      <c r="L29" s="92" t="s">
        <v>182</v>
      </c>
      <c r="M29" s="94">
        <v>60</v>
      </c>
      <c r="N29" s="92" t="s">
        <v>183</v>
      </c>
      <c r="O29" s="94">
        <v>60.1</v>
      </c>
      <c r="P29" s="92" t="s">
        <v>184</v>
      </c>
      <c r="Q29" s="95">
        <v>60</v>
      </c>
    </row>
    <row r="30" spans="1:21" s="92" customFormat="1" x14ac:dyDescent="0.2">
      <c r="A30" s="92">
        <v>2</v>
      </c>
      <c r="B30" s="92" t="s">
        <v>133</v>
      </c>
      <c r="C30" s="92" t="s">
        <v>133</v>
      </c>
      <c r="D30" s="92" t="s">
        <v>133</v>
      </c>
      <c r="E30" s="92" t="s">
        <v>133</v>
      </c>
      <c r="F30" s="92" t="s">
        <v>185</v>
      </c>
      <c r="G30" s="92" t="s">
        <v>133</v>
      </c>
      <c r="H30" s="94">
        <v>13.85</v>
      </c>
      <c r="I30" s="94">
        <v>15.65</v>
      </c>
      <c r="J30" s="94">
        <f>I30-H30</f>
        <v>1.8000000000000007</v>
      </c>
      <c r="K30" s="94"/>
      <c r="L30" s="92" t="s">
        <v>186</v>
      </c>
      <c r="M30" s="94">
        <v>60</v>
      </c>
      <c r="N30" s="92" t="s">
        <v>187</v>
      </c>
      <c r="O30" s="94">
        <v>60</v>
      </c>
      <c r="P30" s="92" t="s">
        <v>188</v>
      </c>
      <c r="Q30" s="94">
        <v>60.1</v>
      </c>
    </row>
    <row r="31" spans="1:21" s="92" customFormat="1" x14ac:dyDescent="0.2">
      <c r="A31" s="92">
        <v>3</v>
      </c>
      <c r="B31" s="92" t="s">
        <v>133</v>
      </c>
      <c r="C31" s="92" t="s">
        <v>133</v>
      </c>
      <c r="D31" s="92" t="s">
        <v>133</v>
      </c>
      <c r="E31" s="92" t="s">
        <v>133</v>
      </c>
      <c r="F31" s="92" t="s">
        <v>189</v>
      </c>
      <c r="G31" s="92" t="s">
        <v>133</v>
      </c>
      <c r="H31" s="94">
        <v>13.83</v>
      </c>
      <c r="I31" s="94">
        <v>15.73</v>
      </c>
      <c r="J31" s="94">
        <f>I31-H31</f>
        <v>1.9000000000000004</v>
      </c>
      <c r="K31" s="94"/>
      <c r="L31" s="92" t="s">
        <v>190</v>
      </c>
      <c r="M31" s="94">
        <v>60.1</v>
      </c>
      <c r="N31" s="92" t="s">
        <v>191</v>
      </c>
      <c r="O31" s="94">
        <v>60</v>
      </c>
      <c r="P31" s="92" t="s">
        <v>192</v>
      </c>
      <c r="Q31" s="94">
        <v>60</v>
      </c>
    </row>
    <row r="32" spans="1:21" x14ac:dyDescent="0.2">
      <c r="H32" s="72"/>
      <c r="I32" s="72"/>
      <c r="J32" s="72"/>
      <c r="K32" s="72"/>
      <c r="L32" s="72"/>
      <c r="M32" s="72"/>
      <c r="N32" s="72"/>
      <c r="O32" s="72"/>
      <c r="Q32" s="72"/>
    </row>
    <row r="33" spans="1:17" s="92" customFormat="1" x14ac:dyDescent="0.2">
      <c r="A33" s="92">
        <v>1</v>
      </c>
      <c r="B33" s="92">
        <v>10</v>
      </c>
      <c r="C33" s="93">
        <v>42804</v>
      </c>
      <c r="D33" s="92">
        <v>30</v>
      </c>
      <c r="E33" s="92" t="s">
        <v>142</v>
      </c>
      <c r="F33" s="92" t="s">
        <v>158</v>
      </c>
      <c r="G33" s="92">
        <v>10</v>
      </c>
      <c r="H33" s="94">
        <v>13.82</v>
      </c>
      <c r="I33" s="94">
        <v>15.95</v>
      </c>
      <c r="J33" s="94">
        <f>I33-H33</f>
        <v>2.129999999999999</v>
      </c>
      <c r="K33" s="94"/>
      <c r="L33" s="92" t="s">
        <v>193</v>
      </c>
      <c r="M33" s="94">
        <v>60</v>
      </c>
      <c r="N33" s="92" t="s">
        <v>194</v>
      </c>
      <c r="O33" s="94">
        <v>60.1</v>
      </c>
      <c r="P33" s="92" t="s">
        <v>195</v>
      </c>
      <c r="Q33" s="94">
        <v>60.1</v>
      </c>
    </row>
    <row r="34" spans="1:17" s="92" customFormat="1" x14ac:dyDescent="0.2">
      <c r="A34" s="92">
        <v>2</v>
      </c>
      <c r="B34" s="92" t="s">
        <v>133</v>
      </c>
      <c r="C34" s="92" t="s">
        <v>133</v>
      </c>
      <c r="D34" s="92" t="s">
        <v>133</v>
      </c>
      <c r="E34" s="92" t="s">
        <v>133</v>
      </c>
      <c r="F34" s="92" t="s">
        <v>161</v>
      </c>
      <c r="G34" s="92" t="s">
        <v>133</v>
      </c>
      <c r="H34" s="94">
        <v>13.86</v>
      </c>
      <c r="I34" s="94">
        <v>16.03</v>
      </c>
      <c r="J34" s="94">
        <f>I34-H34</f>
        <v>2.1700000000000017</v>
      </c>
      <c r="K34" s="94"/>
      <c r="L34" s="92" t="s">
        <v>196</v>
      </c>
      <c r="M34" s="94">
        <v>60</v>
      </c>
      <c r="N34" s="92" t="s">
        <v>197</v>
      </c>
      <c r="O34" s="94">
        <v>60</v>
      </c>
      <c r="P34" s="92" t="s">
        <v>198</v>
      </c>
      <c r="Q34" s="94">
        <v>60.2</v>
      </c>
    </row>
    <row r="35" spans="1:17" s="92" customFormat="1" x14ac:dyDescent="0.2">
      <c r="A35" s="92">
        <v>3</v>
      </c>
      <c r="B35" s="92" t="s">
        <v>133</v>
      </c>
      <c r="C35" s="92" t="s">
        <v>133</v>
      </c>
      <c r="D35" s="92" t="s">
        <v>133</v>
      </c>
      <c r="E35" s="92" t="s">
        <v>133</v>
      </c>
      <c r="F35" s="92" t="s">
        <v>164</v>
      </c>
      <c r="G35" s="92" t="s">
        <v>133</v>
      </c>
      <c r="H35" s="94">
        <v>13.9</v>
      </c>
      <c r="I35" s="94">
        <v>16.03</v>
      </c>
      <c r="J35" s="94">
        <f>I35-H35</f>
        <v>2.1300000000000008</v>
      </c>
      <c r="K35" s="94"/>
      <c r="L35" s="92" t="s">
        <v>199</v>
      </c>
      <c r="M35" s="94">
        <v>60</v>
      </c>
      <c r="N35" s="92" t="s">
        <v>200</v>
      </c>
      <c r="O35" s="94">
        <v>60.2</v>
      </c>
      <c r="P35" s="92" t="s">
        <v>201</v>
      </c>
      <c r="Q35" s="94">
        <v>59.9</v>
      </c>
    </row>
    <row r="36" spans="1:17" x14ac:dyDescent="0.2">
      <c r="H36" s="72"/>
      <c r="I36" s="72"/>
      <c r="J36" s="72"/>
      <c r="K36" s="72"/>
      <c r="L36" s="72"/>
      <c r="M36" s="72"/>
      <c r="N36" s="72"/>
      <c r="O36" s="72"/>
      <c r="Q36" s="72"/>
    </row>
    <row r="37" spans="1:17" x14ac:dyDescent="0.2">
      <c r="H37" s="72"/>
      <c r="I37" s="72"/>
      <c r="K37" s="72"/>
      <c r="L37" s="72"/>
      <c r="M37" s="72" t="s">
        <v>413</v>
      </c>
      <c r="N37" s="72"/>
      <c r="O37" s="72"/>
      <c r="Q37" s="72"/>
    </row>
    <row r="38" spans="1:17" x14ac:dyDescent="0.2">
      <c r="A38" s="84">
        <v>1</v>
      </c>
      <c r="B38" s="84">
        <v>19</v>
      </c>
      <c r="C38" s="85">
        <v>42865</v>
      </c>
      <c r="D38" s="84" t="s">
        <v>128</v>
      </c>
      <c r="E38" s="84" t="s">
        <v>128</v>
      </c>
      <c r="F38" s="84" t="s">
        <v>168</v>
      </c>
      <c r="G38" s="84" t="s">
        <v>128</v>
      </c>
      <c r="H38" s="84" t="s">
        <v>128</v>
      </c>
      <c r="I38" s="84" t="s">
        <v>128</v>
      </c>
      <c r="J38" s="84" t="s">
        <v>128</v>
      </c>
      <c r="K38" s="86"/>
      <c r="L38" s="84" t="s">
        <v>169</v>
      </c>
      <c r="M38" s="86">
        <v>15.4</v>
      </c>
      <c r="N38" s="72"/>
      <c r="O38" s="72"/>
      <c r="Q38" s="72"/>
    </row>
    <row r="39" spans="1:17" x14ac:dyDescent="0.2">
      <c r="A39" s="84">
        <v>2</v>
      </c>
      <c r="B39" s="84" t="s">
        <v>133</v>
      </c>
      <c r="C39" s="84" t="s">
        <v>133</v>
      </c>
      <c r="D39" s="84" t="s">
        <v>133</v>
      </c>
      <c r="E39" s="84" t="s">
        <v>133</v>
      </c>
      <c r="F39" s="84" t="s">
        <v>170</v>
      </c>
      <c r="G39" s="84" t="s">
        <v>133</v>
      </c>
      <c r="H39" s="84" t="s">
        <v>133</v>
      </c>
      <c r="I39" s="84" t="s">
        <v>133</v>
      </c>
      <c r="J39" s="84" t="s">
        <v>133</v>
      </c>
      <c r="K39" s="86"/>
      <c r="L39" s="84" t="s">
        <v>12</v>
      </c>
      <c r="M39" s="86">
        <v>14.9</v>
      </c>
      <c r="N39" s="72"/>
      <c r="O39" s="72"/>
      <c r="Q39" s="72"/>
    </row>
    <row r="40" spans="1:17" x14ac:dyDescent="0.2">
      <c r="A40" s="84">
        <v>3</v>
      </c>
      <c r="B40" s="84" t="s">
        <v>133</v>
      </c>
      <c r="C40" s="84" t="s">
        <v>133</v>
      </c>
      <c r="D40" s="84" t="s">
        <v>133</v>
      </c>
      <c r="E40" s="84" t="s">
        <v>133</v>
      </c>
      <c r="F40" s="84" t="s">
        <v>171</v>
      </c>
      <c r="G40" s="84" t="s">
        <v>133</v>
      </c>
      <c r="H40" s="84" t="s">
        <v>133</v>
      </c>
      <c r="I40" s="84" t="s">
        <v>133</v>
      </c>
      <c r="J40" s="84" t="s">
        <v>133</v>
      </c>
      <c r="K40" s="86"/>
      <c r="L40" s="84" t="s">
        <v>13</v>
      </c>
      <c r="M40" s="86">
        <v>14.9</v>
      </c>
      <c r="N40" s="72"/>
      <c r="O40" s="72"/>
      <c r="Q40" s="72"/>
    </row>
    <row r="41" spans="1:17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6"/>
      <c r="L41" s="84"/>
      <c r="M41" s="86"/>
      <c r="N41" s="72"/>
      <c r="O41" s="72"/>
      <c r="Q41" s="72"/>
    </row>
    <row r="42" spans="1:17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6"/>
      <c r="L42" s="84"/>
      <c r="M42" s="86"/>
      <c r="N42" s="72"/>
      <c r="O42" s="72"/>
      <c r="Q42" s="72"/>
    </row>
    <row r="43" spans="1:17" s="96" customFormat="1" x14ac:dyDescent="0.2">
      <c r="A43" s="96">
        <v>1</v>
      </c>
      <c r="B43" s="96">
        <v>4</v>
      </c>
      <c r="C43" s="97">
        <v>42762</v>
      </c>
      <c r="D43" s="96">
        <v>40</v>
      </c>
      <c r="E43" s="96" t="s">
        <v>142</v>
      </c>
      <c r="F43" s="96" t="s">
        <v>202</v>
      </c>
      <c r="G43" s="96">
        <v>5</v>
      </c>
      <c r="H43" s="98">
        <v>13.78</v>
      </c>
      <c r="I43" s="98">
        <v>15.35</v>
      </c>
      <c r="J43" s="98">
        <f>I43-H43</f>
        <v>1.5700000000000003</v>
      </c>
      <c r="K43" s="98"/>
      <c r="L43" s="96" t="s">
        <v>203</v>
      </c>
      <c r="M43" s="98">
        <v>60</v>
      </c>
      <c r="N43" s="96" t="s">
        <v>204</v>
      </c>
      <c r="O43" s="98">
        <v>60</v>
      </c>
      <c r="P43" s="96" t="s">
        <v>205</v>
      </c>
      <c r="Q43" s="98">
        <v>60</v>
      </c>
    </row>
    <row r="44" spans="1:17" s="96" customFormat="1" x14ac:dyDescent="0.2">
      <c r="A44" s="96">
        <v>2</v>
      </c>
      <c r="B44" s="96" t="s">
        <v>133</v>
      </c>
      <c r="C44" s="96" t="s">
        <v>133</v>
      </c>
      <c r="D44" s="96" t="s">
        <v>133</v>
      </c>
      <c r="E44" s="96" t="s">
        <v>133</v>
      </c>
      <c r="F44" s="96" t="s">
        <v>206</v>
      </c>
      <c r="G44" s="96" t="s">
        <v>133</v>
      </c>
      <c r="H44" s="98">
        <v>13.85</v>
      </c>
      <c r="I44" s="98">
        <v>15.45</v>
      </c>
      <c r="J44" s="98">
        <f>I44-H44</f>
        <v>1.5999999999999996</v>
      </c>
      <c r="K44" s="98"/>
      <c r="L44" s="96" t="s">
        <v>203</v>
      </c>
      <c r="M44" s="98">
        <v>60</v>
      </c>
      <c r="N44" s="96" t="s">
        <v>204</v>
      </c>
      <c r="O44" s="98">
        <v>60</v>
      </c>
      <c r="P44" s="96" t="s">
        <v>205</v>
      </c>
      <c r="Q44" s="98">
        <v>60</v>
      </c>
    </row>
    <row r="45" spans="1:17" s="96" customFormat="1" x14ac:dyDescent="0.2">
      <c r="A45" s="96">
        <v>3</v>
      </c>
      <c r="B45" s="96" t="s">
        <v>133</v>
      </c>
      <c r="C45" s="96" t="s">
        <v>133</v>
      </c>
      <c r="D45" s="96" t="s">
        <v>133</v>
      </c>
      <c r="E45" s="96" t="s">
        <v>133</v>
      </c>
      <c r="F45" s="96" t="s">
        <v>207</v>
      </c>
      <c r="G45" s="96" t="s">
        <v>133</v>
      </c>
      <c r="H45" s="98">
        <v>13.86</v>
      </c>
      <c r="I45" s="98">
        <v>15.33</v>
      </c>
      <c r="J45" s="98">
        <f>I45-H45</f>
        <v>1.4700000000000006</v>
      </c>
      <c r="K45" s="98"/>
      <c r="L45" s="96" t="s">
        <v>203</v>
      </c>
      <c r="M45" s="98">
        <v>60.1</v>
      </c>
      <c r="N45" s="96" t="s">
        <v>204</v>
      </c>
      <c r="O45" s="98">
        <v>60</v>
      </c>
      <c r="P45" s="96" t="s">
        <v>205</v>
      </c>
      <c r="Q45" s="98">
        <v>60</v>
      </c>
    </row>
    <row r="46" spans="1:17" x14ac:dyDescent="0.2">
      <c r="H46" s="72"/>
      <c r="I46" s="72"/>
      <c r="J46" s="72"/>
      <c r="K46" s="72"/>
      <c r="L46" s="72"/>
      <c r="M46" s="72"/>
      <c r="N46" s="72"/>
      <c r="O46" s="72"/>
      <c r="Q46" s="72"/>
    </row>
    <row r="47" spans="1:17" s="99" customFormat="1" x14ac:dyDescent="0.2">
      <c r="A47" s="99">
        <v>1</v>
      </c>
      <c r="B47" s="99">
        <v>11</v>
      </c>
      <c r="C47" s="100">
        <v>42811</v>
      </c>
      <c r="D47" s="99">
        <v>40</v>
      </c>
      <c r="E47" s="99" t="s">
        <v>142</v>
      </c>
      <c r="F47" s="99" t="s">
        <v>158</v>
      </c>
      <c r="G47" s="99">
        <v>10</v>
      </c>
      <c r="H47" s="101">
        <v>13.63</v>
      </c>
      <c r="I47" s="101">
        <v>15.97</v>
      </c>
      <c r="J47" s="101">
        <f>I47-H47</f>
        <v>2.34</v>
      </c>
      <c r="K47" s="101"/>
      <c r="L47" s="99" t="s">
        <v>193</v>
      </c>
      <c r="M47" s="101">
        <v>60.1</v>
      </c>
      <c r="N47" s="99" t="s">
        <v>194</v>
      </c>
      <c r="O47" s="101">
        <v>60</v>
      </c>
      <c r="P47" s="99" t="s">
        <v>195</v>
      </c>
      <c r="Q47" s="101">
        <v>60.1</v>
      </c>
    </row>
    <row r="48" spans="1:17" s="99" customFormat="1" x14ac:dyDescent="0.2">
      <c r="A48" s="99">
        <v>2</v>
      </c>
      <c r="B48" s="99" t="s">
        <v>133</v>
      </c>
      <c r="C48" s="99" t="s">
        <v>133</v>
      </c>
      <c r="D48" s="99" t="s">
        <v>133</v>
      </c>
      <c r="E48" s="99" t="s">
        <v>133</v>
      </c>
      <c r="F48" s="99" t="s">
        <v>161</v>
      </c>
      <c r="G48" s="99" t="s">
        <v>133</v>
      </c>
      <c r="H48" s="101">
        <v>13.72</v>
      </c>
      <c r="I48" s="101">
        <v>16.02</v>
      </c>
      <c r="J48" s="101">
        <f>I48-H48</f>
        <v>2.2999999999999989</v>
      </c>
      <c r="K48" s="101"/>
      <c r="L48" s="99" t="s">
        <v>196</v>
      </c>
      <c r="M48" s="101">
        <v>60.1</v>
      </c>
      <c r="N48" s="99" t="s">
        <v>197</v>
      </c>
      <c r="O48" s="101">
        <v>60</v>
      </c>
      <c r="P48" s="99" t="s">
        <v>198</v>
      </c>
      <c r="Q48" s="101">
        <v>60.1</v>
      </c>
    </row>
    <row r="49" spans="1:17" s="99" customFormat="1" x14ac:dyDescent="0.2">
      <c r="A49" s="99">
        <v>3</v>
      </c>
      <c r="B49" s="99" t="s">
        <v>133</v>
      </c>
      <c r="C49" s="99" t="s">
        <v>133</v>
      </c>
      <c r="D49" s="99" t="s">
        <v>133</v>
      </c>
      <c r="E49" s="99" t="s">
        <v>133</v>
      </c>
      <c r="F49" s="99" t="s">
        <v>164</v>
      </c>
      <c r="G49" s="99" t="s">
        <v>133</v>
      </c>
      <c r="H49" s="101">
        <v>13.72</v>
      </c>
      <c r="I49" s="101">
        <v>16.12</v>
      </c>
      <c r="J49" s="101">
        <f>I49-H49</f>
        <v>2.4000000000000004</v>
      </c>
      <c r="K49" s="101"/>
      <c r="L49" s="99" t="s">
        <v>199</v>
      </c>
      <c r="M49" s="101">
        <v>60.1</v>
      </c>
      <c r="N49" s="99" t="s">
        <v>200</v>
      </c>
      <c r="O49" s="101">
        <v>60</v>
      </c>
      <c r="P49" s="99" t="s">
        <v>201</v>
      </c>
      <c r="Q49" s="101">
        <v>60</v>
      </c>
    </row>
    <row r="50" spans="1:17" x14ac:dyDescent="0.2">
      <c r="H50" s="72"/>
      <c r="I50" s="72"/>
      <c r="J50" s="72"/>
      <c r="K50" s="72"/>
      <c r="L50" s="72"/>
      <c r="M50" s="72"/>
      <c r="N50" s="72"/>
      <c r="O50" s="72"/>
      <c r="Q50" s="72"/>
    </row>
    <row r="51" spans="1:17" x14ac:dyDescent="0.2">
      <c r="H51" s="72"/>
      <c r="I51" s="72"/>
      <c r="J51" s="72"/>
      <c r="K51" s="72"/>
      <c r="L51" s="72"/>
      <c r="M51" s="72"/>
      <c r="N51" s="72"/>
      <c r="O51" s="72"/>
      <c r="Q51" s="72"/>
    </row>
    <row r="52" spans="1:17" s="102" customFormat="1" x14ac:dyDescent="0.2">
      <c r="A52" s="102">
        <v>1</v>
      </c>
      <c r="B52" s="102">
        <v>12</v>
      </c>
      <c r="C52" s="103">
        <v>42818</v>
      </c>
      <c r="D52" s="102">
        <v>50</v>
      </c>
      <c r="E52" s="102" t="s">
        <v>142</v>
      </c>
      <c r="F52" s="102" t="s">
        <v>158</v>
      </c>
      <c r="G52" s="102">
        <v>10</v>
      </c>
      <c r="H52" s="104">
        <v>13.72</v>
      </c>
      <c r="I52" s="104">
        <v>15.63</v>
      </c>
      <c r="J52" s="104">
        <f>I52-H52</f>
        <v>1.9100000000000001</v>
      </c>
      <c r="K52" s="104"/>
      <c r="L52" s="102" t="s">
        <v>193</v>
      </c>
      <c r="M52" s="104">
        <v>60.2</v>
      </c>
      <c r="N52" s="102" t="s">
        <v>194</v>
      </c>
      <c r="O52" s="104">
        <v>60.2</v>
      </c>
      <c r="P52" s="102" t="s">
        <v>195</v>
      </c>
      <c r="Q52" s="104">
        <v>59.8</v>
      </c>
    </row>
    <row r="53" spans="1:17" s="102" customFormat="1" x14ac:dyDescent="0.2">
      <c r="A53" s="102">
        <v>2</v>
      </c>
      <c r="B53" s="102" t="s">
        <v>133</v>
      </c>
      <c r="C53" s="102" t="s">
        <v>133</v>
      </c>
      <c r="D53" s="102" t="s">
        <v>133</v>
      </c>
      <c r="E53" s="102" t="s">
        <v>133</v>
      </c>
      <c r="F53" s="102" t="s">
        <v>161</v>
      </c>
      <c r="G53" s="102" t="s">
        <v>133</v>
      </c>
      <c r="H53" s="104">
        <v>13.72</v>
      </c>
      <c r="I53" s="104">
        <v>15.81</v>
      </c>
      <c r="J53" s="104">
        <f>I53-H53</f>
        <v>2.09</v>
      </c>
      <c r="K53" s="104"/>
      <c r="L53" s="102" t="s">
        <v>196</v>
      </c>
      <c r="M53" s="104">
        <v>60.1</v>
      </c>
      <c r="N53" s="102" t="s">
        <v>197</v>
      </c>
      <c r="O53" s="104">
        <v>60.1</v>
      </c>
      <c r="P53" s="102" t="s">
        <v>198</v>
      </c>
      <c r="Q53" s="104">
        <v>60.1</v>
      </c>
    </row>
    <row r="54" spans="1:17" s="102" customFormat="1" x14ac:dyDescent="0.2">
      <c r="A54" s="102">
        <v>3</v>
      </c>
      <c r="B54" s="102" t="s">
        <v>133</v>
      </c>
      <c r="C54" s="102" t="s">
        <v>133</v>
      </c>
      <c r="D54" s="102" t="s">
        <v>133</v>
      </c>
      <c r="E54" s="102" t="s">
        <v>133</v>
      </c>
      <c r="F54" s="102" t="s">
        <v>164</v>
      </c>
      <c r="G54" s="102" t="s">
        <v>133</v>
      </c>
      <c r="H54" s="104">
        <v>13.62</v>
      </c>
      <c r="I54" s="104">
        <v>15.7</v>
      </c>
      <c r="J54" s="104">
        <f>I54-H54</f>
        <v>2.08</v>
      </c>
      <c r="K54" s="104"/>
      <c r="L54" s="102" t="s">
        <v>199</v>
      </c>
      <c r="M54" s="104">
        <v>60</v>
      </c>
      <c r="N54" s="102" t="s">
        <v>200</v>
      </c>
      <c r="O54" s="104">
        <v>60.2</v>
      </c>
      <c r="P54" s="102" t="s">
        <v>201</v>
      </c>
      <c r="Q54" s="104">
        <v>60.1</v>
      </c>
    </row>
    <row r="55" spans="1:17" x14ac:dyDescent="0.2">
      <c r="H55" s="72"/>
      <c r="I55" s="72"/>
      <c r="J55" s="72"/>
      <c r="K55" s="72"/>
      <c r="L55" s="72"/>
      <c r="M55" s="72"/>
      <c r="N55" s="72"/>
      <c r="O55" s="72"/>
      <c r="Q55" s="72"/>
    </row>
    <row r="56" spans="1:17" s="102" customFormat="1" x14ac:dyDescent="0.2">
      <c r="A56" s="102">
        <v>1</v>
      </c>
      <c r="B56" s="102">
        <v>12</v>
      </c>
      <c r="C56" s="103">
        <v>42818</v>
      </c>
      <c r="D56" s="102">
        <v>50</v>
      </c>
      <c r="E56" s="102" t="s">
        <v>142</v>
      </c>
      <c r="F56" s="102" t="s">
        <v>146</v>
      </c>
      <c r="G56" s="102">
        <v>10</v>
      </c>
      <c r="H56" s="104">
        <v>13.62</v>
      </c>
      <c r="I56" s="104">
        <v>15.75</v>
      </c>
      <c r="J56" s="104">
        <f>I56-H56</f>
        <v>2.1300000000000008</v>
      </c>
      <c r="K56" s="104"/>
      <c r="L56" s="102" t="s">
        <v>172</v>
      </c>
      <c r="M56" s="104">
        <v>60</v>
      </c>
      <c r="N56" s="102" t="s">
        <v>173</v>
      </c>
      <c r="O56" s="104">
        <v>60</v>
      </c>
      <c r="P56" s="102" t="s">
        <v>174</v>
      </c>
      <c r="Q56" s="104">
        <v>60</v>
      </c>
    </row>
    <row r="57" spans="1:17" s="102" customFormat="1" x14ac:dyDescent="0.2">
      <c r="A57" s="102">
        <v>2</v>
      </c>
      <c r="B57" s="102" t="s">
        <v>133</v>
      </c>
      <c r="C57" s="102" t="s">
        <v>133</v>
      </c>
      <c r="D57" s="102" t="s">
        <v>133</v>
      </c>
      <c r="E57" s="102" t="s">
        <v>133</v>
      </c>
      <c r="F57" s="102" t="s">
        <v>150</v>
      </c>
      <c r="G57" s="102" t="s">
        <v>133</v>
      </c>
      <c r="H57" s="104">
        <v>13.65</v>
      </c>
      <c r="I57" s="104">
        <v>15.63</v>
      </c>
      <c r="J57" s="104">
        <f>I57-H57</f>
        <v>1.9800000000000004</v>
      </c>
      <c r="K57" s="104"/>
      <c r="L57" s="102" t="s">
        <v>175</v>
      </c>
      <c r="M57" s="104">
        <v>60.1</v>
      </c>
      <c r="N57" s="102" t="s">
        <v>176</v>
      </c>
      <c r="O57" s="104">
        <v>60</v>
      </c>
      <c r="P57" s="102" t="s">
        <v>177</v>
      </c>
      <c r="Q57" s="104">
        <v>60</v>
      </c>
    </row>
    <row r="58" spans="1:17" s="102" customFormat="1" x14ac:dyDescent="0.2">
      <c r="A58" s="102">
        <v>3</v>
      </c>
      <c r="B58" s="102" t="s">
        <v>133</v>
      </c>
      <c r="C58" s="102" t="s">
        <v>133</v>
      </c>
      <c r="D58" s="102" t="s">
        <v>133</v>
      </c>
      <c r="E58" s="102" t="s">
        <v>133</v>
      </c>
      <c r="F58" s="102" t="s">
        <v>154</v>
      </c>
      <c r="G58" s="102" t="s">
        <v>133</v>
      </c>
      <c r="H58" s="104">
        <v>13.63</v>
      </c>
      <c r="I58" s="104">
        <v>15.56</v>
      </c>
      <c r="J58" s="104">
        <f>I58-H58</f>
        <v>1.9299999999999997</v>
      </c>
      <c r="K58" s="104"/>
      <c r="L58" s="102" t="s">
        <v>178</v>
      </c>
      <c r="M58" s="104">
        <v>60.1</v>
      </c>
      <c r="N58" s="102" t="s">
        <v>179</v>
      </c>
      <c r="O58" s="104">
        <v>60.1</v>
      </c>
      <c r="P58" s="102" t="s">
        <v>180</v>
      </c>
      <c r="Q58" s="104">
        <v>60.1</v>
      </c>
    </row>
    <row r="60" spans="1:17" x14ac:dyDescent="0.2">
      <c r="H60" s="72"/>
      <c r="I60" s="72"/>
      <c r="K60" s="72"/>
      <c r="L60" s="72"/>
      <c r="M60" s="72" t="s">
        <v>413</v>
      </c>
    </row>
    <row r="61" spans="1:17" x14ac:dyDescent="0.2">
      <c r="A61" s="84">
        <v>1</v>
      </c>
      <c r="B61" s="84">
        <v>19</v>
      </c>
      <c r="C61" s="85">
        <v>42871</v>
      </c>
      <c r="D61" s="84" t="s">
        <v>128</v>
      </c>
      <c r="E61" s="84" t="s">
        <v>128</v>
      </c>
      <c r="F61" s="84" t="s">
        <v>168</v>
      </c>
      <c r="G61" s="84" t="s">
        <v>128</v>
      </c>
      <c r="H61" s="84" t="s">
        <v>128</v>
      </c>
      <c r="I61" s="84" t="s">
        <v>128</v>
      </c>
      <c r="J61" s="84" t="s">
        <v>128</v>
      </c>
      <c r="K61" s="86"/>
      <c r="L61" s="84" t="s">
        <v>208</v>
      </c>
      <c r="M61" s="105">
        <v>15.21</v>
      </c>
    </row>
    <row r="62" spans="1:17" x14ac:dyDescent="0.2">
      <c r="A62" s="84">
        <v>2</v>
      </c>
      <c r="B62" s="84" t="s">
        <v>133</v>
      </c>
      <c r="C62" s="84" t="s">
        <v>133</v>
      </c>
      <c r="D62" s="84" t="s">
        <v>133</v>
      </c>
      <c r="E62" s="84" t="s">
        <v>133</v>
      </c>
      <c r="F62" s="84" t="s">
        <v>170</v>
      </c>
      <c r="G62" s="84" t="s">
        <v>133</v>
      </c>
      <c r="H62" s="84" t="s">
        <v>133</v>
      </c>
      <c r="I62" s="84" t="s">
        <v>133</v>
      </c>
      <c r="J62" s="84" t="s">
        <v>133</v>
      </c>
      <c r="K62" s="86"/>
      <c r="L62" s="84" t="s">
        <v>209</v>
      </c>
      <c r="M62" s="86">
        <v>15.17</v>
      </c>
    </row>
    <row r="63" spans="1:17" x14ac:dyDescent="0.2">
      <c r="A63" s="84">
        <v>3</v>
      </c>
      <c r="B63" s="84" t="s">
        <v>133</v>
      </c>
      <c r="C63" s="84" t="s">
        <v>133</v>
      </c>
      <c r="D63" s="84" t="s">
        <v>133</v>
      </c>
      <c r="E63" s="84" t="s">
        <v>133</v>
      </c>
      <c r="F63" s="84" t="s">
        <v>171</v>
      </c>
      <c r="G63" s="84" t="s">
        <v>133</v>
      </c>
      <c r="H63" s="84" t="s">
        <v>133</v>
      </c>
      <c r="I63" s="84" t="s">
        <v>133</v>
      </c>
      <c r="J63" s="84" t="s">
        <v>133</v>
      </c>
      <c r="K63" s="86"/>
      <c r="L63" s="84" t="s">
        <v>210</v>
      </c>
      <c r="M63" s="86">
        <v>15.78</v>
      </c>
    </row>
    <row r="65" spans="1:13" x14ac:dyDescent="0.2">
      <c r="A65" s="84">
        <v>1</v>
      </c>
      <c r="B65" s="84">
        <v>19</v>
      </c>
      <c r="C65" s="85">
        <v>42871</v>
      </c>
      <c r="D65" s="84" t="s">
        <v>128</v>
      </c>
      <c r="E65" s="84" t="s">
        <v>128</v>
      </c>
      <c r="F65" s="84" t="s">
        <v>168</v>
      </c>
      <c r="G65" s="84" t="s">
        <v>128</v>
      </c>
      <c r="H65" s="84" t="s">
        <v>128</v>
      </c>
      <c r="I65" s="84" t="s">
        <v>128</v>
      </c>
      <c r="J65" s="84" t="s">
        <v>128</v>
      </c>
      <c r="K65" s="86"/>
      <c r="L65" s="84" t="s">
        <v>6</v>
      </c>
      <c r="M65" s="105">
        <v>15</v>
      </c>
    </row>
    <row r="66" spans="1:13" x14ac:dyDescent="0.2">
      <c r="A66" s="84">
        <v>2</v>
      </c>
      <c r="B66" s="84" t="s">
        <v>133</v>
      </c>
      <c r="C66" s="84" t="s">
        <v>133</v>
      </c>
      <c r="D66" s="84" t="s">
        <v>133</v>
      </c>
      <c r="E66" s="84" t="s">
        <v>133</v>
      </c>
      <c r="F66" s="84" t="s">
        <v>170</v>
      </c>
      <c r="G66" s="84" t="s">
        <v>133</v>
      </c>
      <c r="H66" s="84" t="s">
        <v>133</v>
      </c>
      <c r="I66" s="84" t="s">
        <v>133</v>
      </c>
      <c r="J66" s="84" t="s">
        <v>133</v>
      </c>
      <c r="K66" s="86"/>
      <c r="L66" s="84" t="s">
        <v>7</v>
      </c>
      <c r="M66" s="105">
        <v>15</v>
      </c>
    </row>
    <row r="67" spans="1:13" x14ac:dyDescent="0.2">
      <c r="A67" s="84">
        <v>3</v>
      </c>
      <c r="B67" s="84" t="s">
        <v>133</v>
      </c>
      <c r="C67" s="84" t="s">
        <v>133</v>
      </c>
      <c r="D67" s="84" t="s">
        <v>133</v>
      </c>
      <c r="E67" s="84" t="s">
        <v>133</v>
      </c>
      <c r="F67" s="84" t="s">
        <v>171</v>
      </c>
      <c r="G67" s="84" t="s">
        <v>133</v>
      </c>
      <c r="H67" s="84" t="s">
        <v>133</v>
      </c>
      <c r="I67" s="84" t="s">
        <v>133</v>
      </c>
      <c r="J67" s="84" t="s">
        <v>133</v>
      </c>
      <c r="K67" s="86"/>
      <c r="L67" s="84" t="s">
        <v>8</v>
      </c>
      <c r="M67" s="105">
        <v>15</v>
      </c>
    </row>
    <row r="69" spans="1:13" x14ac:dyDescent="0.2">
      <c r="A69" s="84">
        <v>1</v>
      </c>
      <c r="B69" s="84">
        <v>19</v>
      </c>
      <c r="C69" s="85">
        <v>42871</v>
      </c>
      <c r="D69" s="84" t="s">
        <v>128</v>
      </c>
      <c r="E69" s="84" t="s">
        <v>128</v>
      </c>
      <c r="F69" s="84" t="s">
        <v>168</v>
      </c>
      <c r="G69" s="84" t="s">
        <v>128</v>
      </c>
      <c r="H69" s="84" t="s">
        <v>128</v>
      </c>
      <c r="I69" s="84" t="s">
        <v>128</v>
      </c>
      <c r="J69" s="84" t="s">
        <v>128</v>
      </c>
      <c r="K69" s="86"/>
      <c r="L69" s="84" t="s">
        <v>9</v>
      </c>
      <c r="M69" s="105">
        <v>15.06</v>
      </c>
    </row>
    <row r="70" spans="1:13" x14ac:dyDescent="0.2">
      <c r="A70" s="84">
        <v>2</v>
      </c>
      <c r="B70" s="84" t="s">
        <v>133</v>
      </c>
      <c r="C70" s="84" t="s">
        <v>133</v>
      </c>
      <c r="D70" s="84" t="s">
        <v>133</v>
      </c>
      <c r="E70" s="84" t="s">
        <v>133</v>
      </c>
      <c r="F70" s="84" t="s">
        <v>170</v>
      </c>
      <c r="G70" s="84" t="s">
        <v>133</v>
      </c>
      <c r="H70" s="84" t="s">
        <v>133</v>
      </c>
      <c r="I70" s="84" t="s">
        <v>133</v>
      </c>
      <c r="J70" s="84" t="s">
        <v>133</v>
      </c>
      <c r="K70" s="86"/>
      <c r="L70" s="84" t="s">
        <v>10</v>
      </c>
      <c r="M70" s="86">
        <v>15.16</v>
      </c>
    </row>
    <row r="71" spans="1:13" x14ac:dyDescent="0.2">
      <c r="A71" s="84">
        <v>3</v>
      </c>
      <c r="B71" s="84" t="s">
        <v>133</v>
      </c>
      <c r="C71" s="84" t="s">
        <v>133</v>
      </c>
      <c r="D71" s="84" t="s">
        <v>133</v>
      </c>
      <c r="E71" s="84" t="s">
        <v>133</v>
      </c>
      <c r="F71" s="84" t="s">
        <v>171</v>
      </c>
      <c r="G71" s="84" t="s">
        <v>133</v>
      </c>
      <c r="H71" s="84" t="s">
        <v>133</v>
      </c>
      <c r="I71" s="84" t="s">
        <v>133</v>
      </c>
      <c r="J71" s="84" t="s">
        <v>133</v>
      </c>
      <c r="K71" s="86"/>
      <c r="L71" s="84" t="s">
        <v>11</v>
      </c>
      <c r="M71" s="86">
        <v>15.24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A400"/>
  <sheetViews>
    <sheetView workbookViewId="0">
      <selection activeCell="F17" sqref="F17"/>
    </sheetView>
  </sheetViews>
  <sheetFormatPr baseColWidth="10" defaultColWidth="8.83203125" defaultRowHeight="15" x14ac:dyDescent="0.2"/>
  <cols>
    <col min="1" max="1" width="30.5" bestFit="1" customWidth="1"/>
    <col min="2" max="2" width="28" style="64" customWidth="1"/>
    <col min="3" max="3" width="15.33203125" bestFit="1" customWidth="1"/>
  </cols>
  <sheetData>
    <row r="1" spans="1:21" x14ac:dyDescent="0.2">
      <c r="A1" s="190" t="s">
        <v>252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x14ac:dyDescent="0.2">
      <c r="A3" s="11" t="s">
        <v>222</v>
      </c>
      <c r="B3" s="11" t="s">
        <v>258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2">
      <c r="A4" s="11" t="s">
        <v>253</v>
      </c>
      <c r="B4" s="11" t="s">
        <v>256</v>
      </c>
      <c r="C4" s="11"/>
      <c r="D4" s="11" t="s">
        <v>259</v>
      </c>
      <c r="E4" s="11"/>
      <c r="F4" s="11"/>
      <c r="G4" s="11" t="s">
        <v>260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7" x14ac:dyDescent="0.25">
      <c r="A5" s="11" t="s">
        <v>254</v>
      </c>
      <c r="B5" s="11" t="s">
        <v>257</v>
      </c>
      <c r="C5" s="11"/>
      <c r="D5" s="11" t="s">
        <v>261</v>
      </c>
      <c r="E5" s="11"/>
      <c r="F5" s="11"/>
      <c r="G5" s="11" t="s">
        <v>262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6" thickBo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24" t="s">
        <v>100</v>
      </c>
      <c r="B7" s="125" t="s">
        <v>220</v>
      </c>
      <c r="C7" s="166" t="s">
        <v>223</v>
      </c>
      <c r="D7" s="166" t="s">
        <v>101</v>
      </c>
      <c r="E7" s="166" t="s">
        <v>102</v>
      </c>
      <c r="F7" s="167" t="s">
        <v>103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2">
      <c r="A8" s="126"/>
      <c r="B8" s="127" t="s">
        <v>85</v>
      </c>
      <c r="C8" s="160" t="s">
        <v>104</v>
      </c>
      <c r="D8" s="160" t="s">
        <v>105</v>
      </c>
      <c r="E8" s="160" t="s">
        <v>106</v>
      </c>
      <c r="F8" s="161" t="s">
        <v>255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">
      <c r="A9" s="128"/>
      <c r="B9" s="127" t="s">
        <v>221</v>
      </c>
      <c r="C9" s="162" t="s">
        <v>80</v>
      </c>
      <c r="D9" s="162" t="s">
        <v>80</v>
      </c>
      <c r="E9" s="162" t="s">
        <v>80</v>
      </c>
      <c r="F9" s="163" t="s">
        <v>80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6" thickBot="1" x14ac:dyDescent="0.25">
      <c r="A10" s="129"/>
      <c r="B10" s="130" t="s">
        <v>222</v>
      </c>
      <c r="C10" s="164" t="s">
        <v>107</v>
      </c>
      <c r="D10" s="164" t="s">
        <v>107</v>
      </c>
      <c r="E10" s="164" t="s">
        <v>107</v>
      </c>
      <c r="F10" s="165" t="s">
        <v>107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x14ac:dyDescent="0.2">
      <c r="A11" s="131" t="s">
        <v>108</v>
      </c>
      <c r="B11" s="132"/>
      <c r="C11" s="133">
        <v>7.3710000000000004</v>
      </c>
      <c r="D11" s="133">
        <v>6.0926</v>
      </c>
      <c r="E11" s="133">
        <v>32.2027</v>
      </c>
      <c r="F11" s="134">
        <v>1.4965999999999999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2">
      <c r="A12" s="131" t="s">
        <v>109</v>
      </c>
      <c r="B12" s="132"/>
      <c r="C12" s="133">
        <v>7.3680000000000003</v>
      </c>
      <c r="D12" s="133">
        <v>4.6620999999999997</v>
      </c>
      <c r="E12" s="133">
        <v>24.599</v>
      </c>
      <c r="F12" s="134">
        <v>1.1432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x14ac:dyDescent="0.2">
      <c r="A13" s="131" t="s">
        <v>110</v>
      </c>
      <c r="B13" s="132"/>
      <c r="C13" s="133">
        <v>7.3719999999999999</v>
      </c>
      <c r="D13" s="133">
        <v>3.1225999999999998</v>
      </c>
      <c r="E13" s="133">
        <v>16.4438</v>
      </c>
      <c r="F13" s="134">
        <v>0.76419999999999999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2">
      <c r="A14" s="131" t="s">
        <v>111</v>
      </c>
      <c r="B14" s="132"/>
      <c r="C14" s="133">
        <v>7.3659999999999997</v>
      </c>
      <c r="D14" s="133">
        <v>1.5528999999999999</v>
      </c>
      <c r="E14" s="133">
        <v>8.1359999999999992</v>
      </c>
      <c r="F14" s="134">
        <v>0.37809999999999999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x14ac:dyDescent="0.2">
      <c r="A15" s="131" t="s">
        <v>112</v>
      </c>
      <c r="B15" s="132"/>
      <c r="C15" s="133">
        <v>7.367</v>
      </c>
      <c r="D15" s="133">
        <v>0.79510000000000003</v>
      </c>
      <c r="E15" s="133">
        <v>4.1341000000000001</v>
      </c>
      <c r="F15" s="134">
        <v>0.19209999999999999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">
      <c r="A16" s="131" t="s">
        <v>113</v>
      </c>
      <c r="B16" s="132"/>
      <c r="C16" s="133">
        <v>7.3710000000000004</v>
      </c>
      <c r="D16" s="133">
        <v>0.38979999999999998</v>
      </c>
      <c r="E16" s="133">
        <v>2.0369999999999999</v>
      </c>
      <c r="F16" s="134">
        <v>9.4700000000000006E-2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" x14ac:dyDescent="0.2">
      <c r="A17" s="135" t="s">
        <v>16</v>
      </c>
      <c r="B17" s="113"/>
      <c r="C17" s="113">
        <v>7.3710000000000004</v>
      </c>
      <c r="D17" s="113">
        <v>1.5014000000000001</v>
      </c>
      <c r="E17" s="113">
        <v>8.0205000000000002</v>
      </c>
      <c r="F17" s="136">
        <v>1.8637999999999999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" x14ac:dyDescent="0.2">
      <c r="A18" s="135" t="s">
        <v>17</v>
      </c>
      <c r="B18" s="113"/>
      <c r="C18" s="113">
        <v>7.3689999999999998</v>
      </c>
      <c r="D18" s="113">
        <v>1.3851</v>
      </c>
      <c r="E18" s="113">
        <v>7.3833000000000002</v>
      </c>
      <c r="F18" s="136">
        <v>1.7157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" x14ac:dyDescent="0.2">
      <c r="A19" s="135" t="s">
        <v>18</v>
      </c>
      <c r="B19" s="113"/>
      <c r="C19" s="113">
        <v>7.37</v>
      </c>
      <c r="D19" s="113">
        <v>1.3723000000000001</v>
      </c>
      <c r="E19" s="113">
        <v>7.3284000000000002</v>
      </c>
      <c r="F19" s="136">
        <v>1.7030000000000001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" x14ac:dyDescent="0.2">
      <c r="A20" s="135" t="s">
        <v>19</v>
      </c>
      <c r="B20" s="113"/>
      <c r="C20" s="113">
        <v>7.3659999999999997</v>
      </c>
      <c r="D20" s="113">
        <v>1.4774</v>
      </c>
      <c r="E20" s="113">
        <v>7.8723000000000001</v>
      </c>
      <c r="F20" s="136">
        <v>1.8293999999999999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" x14ac:dyDescent="0.2">
      <c r="A21" s="135" t="s">
        <v>20</v>
      </c>
      <c r="B21" s="113"/>
      <c r="C21" s="113">
        <v>7.3719999999999999</v>
      </c>
      <c r="D21" s="113">
        <v>1.3963000000000001</v>
      </c>
      <c r="E21" s="113">
        <v>7.4371</v>
      </c>
      <c r="F21" s="136">
        <v>1.7282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" x14ac:dyDescent="0.2">
      <c r="A22" s="135" t="s">
        <v>21</v>
      </c>
      <c r="B22" s="113"/>
      <c r="C22" s="113">
        <v>7.37</v>
      </c>
      <c r="D22" s="113">
        <v>1.4985999999999999</v>
      </c>
      <c r="E22" s="113">
        <v>7.9859</v>
      </c>
      <c r="F22" s="136">
        <v>1.8557999999999999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" x14ac:dyDescent="0.2">
      <c r="A23" s="135" t="s">
        <v>22</v>
      </c>
      <c r="B23" s="113"/>
      <c r="C23" s="113">
        <v>7.3659999999999997</v>
      </c>
      <c r="D23" s="113">
        <v>1.2462</v>
      </c>
      <c r="E23" s="113">
        <v>6.6161000000000003</v>
      </c>
      <c r="F23" s="136">
        <v>1.5374000000000001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6" x14ac:dyDescent="0.2">
      <c r="A24" s="135" t="s">
        <v>23</v>
      </c>
      <c r="B24" s="113"/>
      <c r="C24" s="113">
        <v>7.3620000000000001</v>
      </c>
      <c r="D24" s="113">
        <v>1.3755999999999999</v>
      </c>
      <c r="E24" s="113">
        <v>7.3160999999999996</v>
      </c>
      <c r="F24" s="136">
        <v>1.7000999999999999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" x14ac:dyDescent="0.2">
      <c r="A25" s="135" t="s">
        <v>24</v>
      </c>
      <c r="B25" s="113"/>
      <c r="C25" s="113">
        <v>7.367</v>
      </c>
      <c r="D25" s="113">
        <v>1.4806999999999999</v>
      </c>
      <c r="E25" s="113">
        <v>7.8745000000000003</v>
      </c>
      <c r="F25" s="136">
        <v>1.8299000000000001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6" x14ac:dyDescent="0.2">
      <c r="A26" s="137" t="s">
        <v>25</v>
      </c>
      <c r="B26" s="114"/>
      <c r="C26" s="114">
        <v>7.3639999999999999</v>
      </c>
      <c r="D26" s="114">
        <v>0.81179999999999997</v>
      </c>
      <c r="E26" s="114">
        <v>4.3037000000000001</v>
      </c>
      <c r="F26" s="138">
        <v>1.0001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6" x14ac:dyDescent="0.2">
      <c r="A27" s="137" t="s">
        <v>26</v>
      </c>
      <c r="B27" s="114"/>
      <c r="C27" s="114">
        <v>7.3620000000000001</v>
      </c>
      <c r="D27" s="114">
        <v>0.83299999999999996</v>
      </c>
      <c r="E27" s="114">
        <v>4.4425999999999997</v>
      </c>
      <c r="F27" s="138">
        <v>1.0324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6" x14ac:dyDescent="0.2">
      <c r="A28" s="137" t="s">
        <v>27</v>
      </c>
      <c r="B28" s="114"/>
      <c r="C28" s="114">
        <v>7.37</v>
      </c>
      <c r="D28" s="114">
        <v>0.84040000000000004</v>
      </c>
      <c r="E28" s="114">
        <v>4.4615</v>
      </c>
      <c r="F28" s="138">
        <v>1.0367999999999999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6" x14ac:dyDescent="0.2">
      <c r="A29" s="137" t="s">
        <v>28</v>
      </c>
      <c r="B29" s="114"/>
      <c r="C29" s="114">
        <v>7.3630000000000004</v>
      </c>
      <c r="D29" s="114">
        <v>0.80149999999999999</v>
      </c>
      <c r="E29" s="114">
        <v>4.2576999999999998</v>
      </c>
      <c r="F29" s="138">
        <v>0.98939999999999995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6" x14ac:dyDescent="0.2">
      <c r="A30" s="137" t="s">
        <v>29</v>
      </c>
      <c r="B30" s="114"/>
      <c r="C30" s="114">
        <v>7.3680000000000003</v>
      </c>
      <c r="D30" s="114">
        <v>0.76070000000000004</v>
      </c>
      <c r="E30" s="114">
        <v>4.0358999999999998</v>
      </c>
      <c r="F30" s="138">
        <v>0.93789999999999996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6" x14ac:dyDescent="0.2">
      <c r="A31" s="137" t="s">
        <v>30</v>
      </c>
      <c r="B31" s="114"/>
      <c r="C31" s="114">
        <v>7.3650000000000002</v>
      </c>
      <c r="D31" s="114">
        <v>0.82650000000000001</v>
      </c>
      <c r="E31" s="114">
        <v>4.3851000000000004</v>
      </c>
      <c r="F31" s="138">
        <v>1.0189999999999999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6" x14ac:dyDescent="0.2">
      <c r="A32" s="137" t="s">
        <v>31</v>
      </c>
      <c r="B32" s="114"/>
      <c r="C32" s="114">
        <v>7.3609999999999998</v>
      </c>
      <c r="D32" s="114">
        <v>0.8216</v>
      </c>
      <c r="E32" s="114">
        <v>4.3544999999999998</v>
      </c>
      <c r="F32" s="138">
        <v>1.0119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6" x14ac:dyDescent="0.2">
      <c r="A33" s="137" t="s">
        <v>32</v>
      </c>
      <c r="B33" s="114"/>
      <c r="C33" s="114">
        <v>7.3689999999999998</v>
      </c>
      <c r="D33" s="114">
        <v>0.81159999999999999</v>
      </c>
      <c r="E33" s="114">
        <v>4.3103999999999996</v>
      </c>
      <c r="F33" s="138">
        <v>1.0016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" x14ac:dyDescent="0.2">
      <c r="A34" s="137" t="s">
        <v>33</v>
      </c>
      <c r="B34" s="114"/>
      <c r="C34" s="114">
        <v>7.367</v>
      </c>
      <c r="D34" s="114">
        <v>0.79849999999999999</v>
      </c>
      <c r="E34" s="114">
        <v>4.2352999999999996</v>
      </c>
      <c r="F34" s="138">
        <v>0.98419999999999996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6" x14ac:dyDescent="0.2">
      <c r="A35" s="139" t="s">
        <v>34</v>
      </c>
      <c r="B35" s="116"/>
      <c r="C35" s="116">
        <v>7.3630000000000004</v>
      </c>
      <c r="D35" s="116">
        <v>0.86870000000000003</v>
      </c>
      <c r="E35" s="116">
        <v>4.5705</v>
      </c>
      <c r="F35" s="140">
        <v>1.0621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6" x14ac:dyDescent="0.2">
      <c r="A36" s="139" t="s">
        <v>35</v>
      </c>
      <c r="B36" s="116"/>
      <c r="C36" s="116">
        <v>7.3639999999999999</v>
      </c>
      <c r="D36" s="116">
        <v>0.94159999999999999</v>
      </c>
      <c r="E36" s="116">
        <v>4.9927999999999999</v>
      </c>
      <c r="F36" s="140">
        <v>1.1601999999999999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6" x14ac:dyDescent="0.2">
      <c r="A37" s="139" t="s">
        <v>36</v>
      </c>
      <c r="B37" s="116"/>
      <c r="C37" s="116">
        <v>7.367</v>
      </c>
      <c r="D37" s="116">
        <v>0.90339999999999998</v>
      </c>
      <c r="E37" s="116">
        <v>4.7573999999999996</v>
      </c>
      <c r="F37" s="140">
        <v>1.1054999999999999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6" x14ac:dyDescent="0.2">
      <c r="A38" s="139" t="s">
        <v>37</v>
      </c>
      <c r="B38" s="116"/>
      <c r="C38" s="116">
        <v>7.367</v>
      </c>
      <c r="D38" s="116">
        <v>0.93600000000000005</v>
      </c>
      <c r="E38" s="116">
        <v>4.9490999999999996</v>
      </c>
      <c r="F38" s="140">
        <v>1.1500999999999999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6" x14ac:dyDescent="0.2">
      <c r="A39" s="139" t="s">
        <v>38</v>
      </c>
      <c r="B39" s="116"/>
      <c r="C39" s="116">
        <v>7.3639999999999999</v>
      </c>
      <c r="D39" s="116">
        <v>0.95030000000000003</v>
      </c>
      <c r="E39" s="116">
        <v>5.0015000000000001</v>
      </c>
      <c r="F39" s="140">
        <v>1.1621999999999999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6" x14ac:dyDescent="0.2">
      <c r="A40" s="139" t="s">
        <v>39</v>
      </c>
      <c r="B40" s="116"/>
      <c r="C40" s="116">
        <v>7.3659999999999997</v>
      </c>
      <c r="D40" s="116">
        <v>0.94030000000000002</v>
      </c>
      <c r="E40" s="116">
        <v>4.9622000000000002</v>
      </c>
      <c r="F40" s="140">
        <v>1.1531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6" x14ac:dyDescent="0.2">
      <c r="A41" s="139" t="s">
        <v>40</v>
      </c>
      <c r="B41" s="116"/>
      <c r="C41" s="116">
        <v>7.359</v>
      </c>
      <c r="D41" s="116">
        <v>0.88360000000000005</v>
      </c>
      <c r="E41" s="116">
        <v>4.6536</v>
      </c>
      <c r="F41" s="140">
        <v>1.0813999999999999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6" x14ac:dyDescent="0.2">
      <c r="A42" s="139" t="s">
        <v>41</v>
      </c>
      <c r="B42" s="116"/>
      <c r="C42" s="116">
        <v>7.3609999999999998</v>
      </c>
      <c r="D42" s="116">
        <v>0.86819999999999997</v>
      </c>
      <c r="E42" s="116">
        <v>4.5811999999999999</v>
      </c>
      <c r="F42" s="140">
        <v>1.0646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6" x14ac:dyDescent="0.2">
      <c r="A43" s="139" t="s">
        <v>42</v>
      </c>
      <c r="B43" s="116"/>
      <c r="C43" s="116">
        <v>7.3639999999999999</v>
      </c>
      <c r="D43" s="116">
        <v>0.88149999999999995</v>
      </c>
      <c r="E43" s="116">
        <v>4.6310000000000002</v>
      </c>
      <c r="F43" s="140">
        <v>1.0762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6" x14ac:dyDescent="0.2">
      <c r="A44" s="141" t="s">
        <v>43</v>
      </c>
      <c r="B44" s="115"/>
      <c r="C44" s="115">
        <v>7.359</v>
      </c>
      <c r="D44" s="115">
        <v>0.89890000000000003</v>
      </c>
      <c r="E44" s="115">
        <v>4.7392000000000003</v>
      </c>
      <c r="F44" s="142">
        <v>1.1012999999999999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6" x14ac:dyDescent="0.2">
      <c r="A45" s="141" t="s">
        <v>44</v>
      </c>
      <c r="B45" s="115"/>
      <c r="C45" s="115">
        <v>7.3630000000000004</v>
      </c>
      <c r="D45" s="115">
        <v>0.83479999999999999</v>
      </c>
      <c r="E45" s="115">
        <v>4.4086999999999996</v>
      </c>
      <c r="F45" s="142">
        <v>1.0245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6" x14ac:dyDescent="0.2">
      <c r="A46" s="141" t="s">
        <v>45</v>
      </c>
      <c r="B46" s="115"/>
      <c r="C46" s="115">
        <v>7.3609999999999998</v>
      </c>
      <c r="D46" s="115">
        <v>0.90690000000000004</v>
      </c>
      <c r="E46" s="115">
        <v>4.7683999999999997</v>
      </c>
      <c r="F46" s="142">
        <v>1.1081000000000001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6" x14ac:dyDescent="0.2">
      <c r="A47" s="141" t="s">
        <v>46</v>
      </c>
      <c r="B47" s="115"/>
      <c r="C47" s="115">
        <v>7.3639999999999999</v>
      </c>
      <c r="D47" s="115">
        <v>0.90210000000000001</v>
      </c>
      <c r="E47" s="115">
        <v>4.7431000000000001</v>
      </c>
      <c r="F47" s="142">
        <v>1.1022000000000001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6" x14ac:dyDescent="0.2">
      <c r="A48" s="141" t="s">
        <v>47</v>
      </c>
      <c r="B48" s="115"/>
      <c r="C48" s="115">
        <v>7.3650000000000002</v>
      </c>
      <c r="D48" s="115">
        <v>0.90349999999999997</v>
      </c>
      <c r="E48" s="115">
        <v>4.7603</v>
      </c>
      <c r="F48" s="142">
        <v>1.1062000000000001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6" x14ac:dyDescent="0.2">
      <c r="A49" s="141" t="s">
        <v>48</v>
      </c>
      <c r="B49" s="115"/>
      <c r="C49" s="115">
        <v>7.3650000000000002</v>
      </c>
      <c r="D49" s="115">
        <v>0.60429999999999995</v>
      </c>
      <c r="E49" s="115">
        <v>3.1629999999999998</v>
      </c>
      <c r="F49" s="142">
        <v>0.73499999999999999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" x14ac:dyDescent="0.2">
      <c r="A50" s="141" t="s">
        <v>49</v>
      </c>
      <c r="B50" s="115"/>
      <c r="C50" s="115">
        <v>7.3579999999999997</v>
      </c>
      <c r="D50" s="115">
        <v>9.0399999999999994E-2</v>
      </c>
      <c r="E50" s="115">
        <v>0.47410000000000002</v>
      </c>
      <c r="F50" s="142">
        <v>0.11020000000000001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" x14ac:dyDescent="0.2">
      <c r="A51" s="141" t="s">
        <v>50</v>
      </c>
      <c r="B51" s="115"/>
      <c r="C51" s="115">
        <v>7.3650000000000002</v>
      </c>
      <c r="D51" s="115">
        <v>0.86429999999999996</v>
      </c>
      <c r="E51" s="115">
        <v>4.5397999999999996</v>
      </c>
      <c r="F51" s="142">
        <v>1.0549999999999999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6" x14ac:dyDescent="0.2">
      <c r="A52" s="141" t="s">
        <v>51</v>
      </c>
      <c r="B52" s="115"/>
      <c r="C52" s="115">
        <v>7.3639999999999999</v>
      </c>
      <c r="D52" s="115">
        <v>0.7762</v>
      </c>
      <c r="E52" s="115">
        <v>4.0815000000000001</v>
      </c>
      <c r="F52" s="142">
        <v>0.94840000000000002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6" x14ac:dyDescent="0.2">
      <c r="A53" s="143" t="s">
        <v>114</v>
      </c>
      <c r="B53" s="117"/>
      <c r="C53" s="117">
        <v>7.36</v>
      </c>
      <c r="D53" s="117">
        <v>0.67800000000000005</v>
      </c>
      <c r="E53" s="117">
        <v>3.4883000000000002</v>
      </c>
      <c r="F53" s="144">
        <v>0.81059999999999999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6" x14ac:dyDescent="0.2">
      <c r="A54" s="143" t="s">
        <v>73</v>
      </c>
      <c r="B54" s="117"/>
      <c r="C54" s="117">
        <v>7.367</v>
      </c>
      <c r="D54" s="117">
        <v>0.71740000000000004</v>
      </c>
      <c r="E54" s="117">
        <v>3.6711999999999998</v>
      </c>
      <c r="F54" s="144">
        <v>0.85309999999999997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6" x14ac:dyDescent="0.2">
      <c r="A55" s="143" t="s">
        <v>74</v>
      </c>
      <c r="B55" s="117"/>
      <c r="C55" s="117">
        <v>7.359</v>
      </c>
      <c r="D55" s="117">
        <v>0.62849999999999995</v>
      </c>
      <c r="E55" s="117">
        <v>3.2107000000000001</v>
      </c>
      <c r="F55" s="144">
        <v>0.74609999999999999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6" x14ac:dyDescent="0.2">
      <c r="A56" s="145" t="s">
        <v>52</v>
      </c>
      <c r="B56" s="118"/>
      <c r="C56" s="118">
        <v>7.3639999999999999</v>
      </c>
      <c r="D56" s="118">
        <v>0.75680000000000003</v>
      </c>
      <c r="E56" s="118">
        <v>4.1497999999999999</v>
      </c>
      <c r="F56" s="146">
        <v>0.96430000000000005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6" x14ac:dyDescent="0.2">
      <c r="A57" s="145" t="s">
        <v>35</v>
      </c>
      <c r="B57" s="118"/>
      <c r="C57" s="118">
        <v>7.3639999999999999</v>
      </c>
      <c r="D57" s="118">
        <v>0.82</v>
      </c>
      <c r="E57" s="118">
        <v>4.2950999999999997</v>
      </c>
      <c r="F57" s="146">
        <v>0.99809999999999999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6" x14ac:dyDescent="0.2">
      <c r="A58" s="145" t="s">
        <v>36</v>
      </c>
      <c r="B58" s="118"/>
      <c r="C58" s="118">
        <v>7.3639999999999999</v>
      </c>
      <c r="D58" s="118">
        <v>0.81340000000000001</v>
      </c>
      <c r="E58" s="118">
        <v>4.2557</v>
      </c>
      <c r="F58" s="146">
        <v>0.9889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6" x14ac:dyDescent="0.2">
      <c r="A59" s="145" t="s">
        <v>37</v>
      </c>
      <c r="B59" s="118"/>
      <c r="C59" s="118">
        <v>7.3570000000000002</v>
      </c>
      <c r="D59" s="118">
        <v>0.57840000000000003</v>
      </c>
      <c r="E59" s="118">
        <v>3.0146999999999999</v>
      </c>
      <c r="F59" s="146">
        <v>0.70050000000000001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6" x14ac:dyDescent="0.2">
      <c r="A60" s="145" t="s">
        <v>38</v>
      </c>
      <c r="B60" s="118"/>
      <c r="C60" s="118">
        <v>7.36</v>
      </c>
      <c r="D60" s="118">
        <v>0.80610000000000004</v>
      </c>
      <c r="E60" s="118">
        <v>4.2184999999999997</v>
      </c>
      <c r="F60" s="146">
        <v>0.98029999999999995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6" x14ac:dyDescent="0.2">
      <c r="A61" s="145" t="s">
        <v>39</v>
      </c>
      <c r="B61" s="118"/>
      <c r="C61" s="118">
        <v>7.3579999999999997</v>
      </c>
      <c r="D61" s="118">
        <v>0.81499999999999995</v>
      </c>
      <c r="E61" s="118">
        <v>4.2737999999999996</v>
      </c>
      <c r="F61" s="146">
        <v>0.99309999999999998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6" x14ac:dyDescent="0.2">
      <c r="A62" s="145" t="s">
        <v>40</v>
      </c>
      <c r="B62" s="118"/>
      <c r="C62" s="118">
        <v>7.3630000000000004</v>
      </c>
      <c r="D62" s="118">
        <v>0.80620000000000003</v>
      </c>
      <c r="E62" s="118">
        <v>4.2098000000000004</v>
      </c>
      <c r="F62" s="146">
        <v>0.97829999999999995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6" x14ac:dyDescent="0.2">
      <c r="A63" s="145" t="s">
        <v>41</v>
      </c>
      <c r="B63" s="118"/>
      <c r="C63" s="118">
        <v>7.3579999999999997</v>
      </c>
      <c r="D63" s="118">
        <v>0.81910000000000005</v>
      </c>
      <c r="E63" s="118">
        <v>4.2968000000000002</v>
      </c>
      <c r="F63" s="146">
        <v>0.99850000000000005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6" x14ac:dyDescent="0.2">
      <c r="A64" s="145" t="s">
        <v>42</v>
      </c>
      <c r="B64" s="118"/>
      <c r="C64" s="118">
        <v>7.367</v>
      </c>
      <c r="D64" s="118">
        <v>0.76859999999999995</v>
      </c>
      <c r="E64" s="118">
        <v>4.0313999999999997</v>
      </c>
      <c r="F64" s="146">
        <v>0.93679999999999997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6" x14ac:dyDescent="0.2">
      <c r="A65" s="147" t="s">
        <v>43</v>
      </c>
      <c r="B65" s="119"/>
      <c r="C65" s="119">
        <v>7.3650000000000002</v>
      </c>
      <c r="D65" s="119">
        <v>0.92659999999999998</v>
      </c>
      <c r="E65" s="119">
        <v>4.8139000000000003</v>
      </c>
      <c r="F65" s="148">
        <v>1.1186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6" x14ac:dyDescent="0.2">
      <c r="A66" s="147" t="s">
        <v>44</v>
      </c>
      <c r="B66" s="119"/>
      <c r="C66" s="119">
        <v>7.3650000000000002</v>
      </c>
      <c r="D66" s="119">
        <v>0.94169999999999998</v>
      </c>
      <c r="E66" s="119">
        <v>4.9324000000000003</v>
      </c>
      <c r="F66" s="148">
        <v>1.1462000000000001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6" x14ac:dyDescent="0.2">
      <c r="A67" s="147" t="s">
        <v>45</v>
      </c>
      <c r="B67" s="119"/>
      <c r="C67" s="119">
        <v>7.3609999999999998</v>
      </c>
      <c r="D67" s="119">
        <v>0.95789999999999997</v>
      </c>
      <c r="E67" s="119">
        <v>5.0236999999999998</v>
      </c>
      <c r="F67" s="148">
        <v>1.1674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6" x14ac:dyDescent="0.2">
      <c r="A68" s="147" t="s">
        <v>46</v>
      </c>
      <c r="B68" s="119"/>
      <c r="C68" s="119">
        <v>7.36</v>
      </c>
      <c r="D68" s="119">
        <v>0.95179999999999998</v>
      </c>
      <c r="E68" s="119">
        <v>4.9949000000000003</v>
      </c>
      <c r="F68" s="148">
        <v>1.1607000000000001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6" x14ac:dyDescent="0.2">
      <c r="A69" s="147" t="s">
        <v>47</v>
      </c>
      <c r="B69" s="119"/>
      <c r="C69" s="119">
        <v>7.3650000000000002</v>
      </c>
      <c r="D69" s="119">
        <v>0.9657</v>
      </c>
      <c r="E69" s="119">
        <v>5.0495000000000001</v>
      </c>
      <c r="F69" s="148">
        <v>1.1734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6" x14ac:dyDescent="0.2">
      <c r="A70" s="147" t="s">
        <v>48</v>
      </c>
      <c r="B70" s="119"/>
      <c r="C70" s="119">
        <v>7.359</v>
      </c>
      <c r="D70" s="119">
        <v>0.96430000000000005</v>
      </c>
      <c r="E70" s="119">
        <v>5.0458999999999996</v>
      </c>
      <c r="F70" s="148">
        <v>1.1726000000000001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6" x14ac:dyDescent="0.2">
      <c r="A71" s="147" t="s">
        <v>49</v>
      </c>
      <c r="B71" s="119"/>
      <c r="C71" s="119">
        <v>7.3650000000000002</v>
      </c>
      <c r="D71" s="119">
        <v>0.94389999999999996</v>
      </c>
      <c r="E71" s="119">
        <v>4.9371999999999998</v>
      </c>
      <c r="F71" s="148">
        <v>1.1473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6" x14ac:dyDescent="0.2">
      <c r="A72" s="147" t="s">
        <v>50</v>
      </c>
      <c r="B72" s="119"/>
      <c r="C72" s="119">
        <v>7.3609999999999998</v>
      </c>
      <c r="D72" s="119">
        <v>0.88480000000000003</v>
      </c>
      <c r="E72" s="119">
        <v>4.6196000000000002</v>
      </c>
      <c r="F72" s="148">
        <v>1.0734999999999999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6" x14ac:dyDescent="0.2">
      <c r="A73" s="147" t="s">
        <v>51</v>
      </c>
      <c r="B73" s="119"/>
      <c r="C73" s="119">
        <v>7.3650000000000002</v>
      </c>
      <c r="D73" s="119">
        <v>0.95020000000000004</v>
      </c>
      <c r="E73" s="119">
        <v>4.9720000000000004</v>
      </c>
      <c r="F73" s="148">
        <v>1.1554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6" x14ac:dyDescent="0.2">
      <c r="A74" s="145" t="s">
        <v>53</v>
      </c>
      <c r="B74" s="118"/>
      <c r="C74" s="118">
        <v>7.3609999999999998</v>
      </c>
      <c r="D74" s="118">
        <v>0.86839999999999995</v>
      </c>
      <c r="E74" s="118">
        <v>4.53</v>
      </c>
      <c r="F74" s="146">
        <v>1.0527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6" x14ac:dyDescent="0.2">
      <c r="A75" s="145" t="s">
        <v>54</v>
      </c>
      <c r="B75" s="118"/>
      <c r="C75" s="118">
        <v>7.36</v>
      </c>
      <c r="D75" s="118">
        <v>0.86129999999999995</v>
      </c>
      <c r="E75" s="118">
        <v>4.4924999999999997</v>
      </c>
      <c r="F75" s="146">
        <v>1.044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6" x14ac:dyDescent="0.2">
      <c r="A76" s="145" t="s">
        <v>55</v>
      </c>
      <c r="B76" s="118"/>
      <c r="C76" s="118">
        <v>7.36</v>
      </c>
      <c r="D76" s="118">
        <v>0.84409999999999996</v>
      </c>
      <c r="E76" s="118">
        <v>4.4116</v>
      </c>
      <c r="F76" s="146">
        <v>1.0251999999999999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6" x14ac:dyDescent="0.2">
      <c r="A77" s="145" t="s">
        <v>56</v>
      </c>
      <c r="B77" s="118"/>
      <c r="C77" s="118">
        <v>7.3650000000000002</v>
      </c>
      <c r="D77" s="118">
        <v>0.93369999999999997</v>
      </c>
      <c r="E77" s="118">
        <v>4.8902000000000001</v>
      </c>
      <c r="F77" s="146">
        <v>1.1364000000000001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6" x14ac:dyDescent="0.2">
      <c r="A78" s="145" t="s">
        <v>57</v>
      </c>
      <c r="B78" s="118"/>
      <c r="C78" s="118">
        <v>7.3579999999999997</v>
      </c>
      <c r="D78" s="118">
        <v>0.82509999999999994</v>
      </c>
      <c r="E78" s="118">
        <v>4.3452000000000002</v>
      </c>
      <c r="F78" s="146">
        <v>1.0097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6" x14ac:dyDescent="0.2">
      <c r="A79" s="145" t="s">
        <v>58</v>
      </c>
      <c r="B79" s="118"/>
      <c r="C79" s="118">
        <v>7.3650000000000002</v>
      </c>
      <c r="D79" s="118">
        <v>0.92930000000000001</v>
      </c>
      <c r="E79" s="118">
        <v>4.8605</v>
      </c>
      <c r="F79" s="146">
        <v>1.1294999999999999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6" x14ac:dyDescent="0.2">
      <c r="A80" s="145" t="s">
        <v>59</v>
      </c>
      <c r="B80" s="118"/>
      <c r="C80" s="118">
        <v>7.3620000000000001</v>
      </c>
      <c r="D80" s="118">
        <v>0.8569</v>
      </c>
      <c r="E80" s="118">
        <v>4.4720000000000004</v>
      </c>
      <c r="F80" s="146">
        <v>1.0391999999999999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6" x14ac:dyDescent="0.2">
      <c r="A81" s="145" t="s">
        <v>60</v>
      </c>
      <c r="B81" s="118"/>
      <c r="C81" s="118">
        <v>7.3609999999999998</v>
      </c>
      <c r="D81" s="118">
        <v>0.85780000000000001</v>
      </c>
      <c r="E81" s="118">
        <v>4.4775</v>
      </c>
      <c r="F81" s="146">
        <v>1.0405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6" x14ac:dyDescent="0.2">
      <c r="A82" s="145" t="s">
        <v>61</v>
      </c>
      <c r="B82" s="118"/>
      <c r="C82" s="118">
        <v>7.3620000000000001</v>
      </c>
      <c r="D82" s="118">
        <v>0.82920000000000005</v>
      </c>
      <c r="E82" s="118">
        <v>4.3651</v>
      </c>
      <c r="F82" s="146">
        <v>1.0143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6" x14ac:dyDescent="0.2">
      <c r="A83" s="143" t="s">
        <v>114</v>
      </c>
      <c r="B83" s="117"/>
      <c r="C83" s="117">
        <v>7.3630000000000004</v>
      </c>
      <c r="D83" s="117">
        <v>0.71079999999999999</v>
      </c>
      <c r="E83" s="117">
        <v>3.6836000000000002</v>
      </c>
      <c r="F83" s="144">
        <v>0.85599999999999998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6" x14ac:dyDescent="0.2">
      <c r="A84" s="143" t="s">
        <v>73</v>
      </c>
      <c r="B84" s="117"/>
      <c r="C84" s="117">
        <v>7.3639999999999999</v>
      </c>
      <c r="D84" s="117">
        <v>0.66520000000000001</v>
      </c>
      <c r="E84" s="117">
        <v>3.4474</v>
      </c>
      <c r="F84" s="144">
        <v>0.80110000000000003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6" x14ac:dyDescent="0.2">
      <c r="A85" s="143" t="s">
        <v>74</v>
      </c>
      <c r="B85" s="117"/>
      <c r="C85" s="117">
        <v>7.359</v>
      </c>
      <c r="D85" s="117">
        <v>0.57550000000000001</v>
      </c>
      <c r="E85" s="117">
        <v>2.9681999999999999</v>
      </c>
      <c r="F85" s="144">
        <v>0.68969999999999998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6" x14ac:dyDescent="0.2">
      <c r="A86" s="149" t="s">
        <v>62</v>
      </c>
      <c r="B86" s="120"/>
      <c r="C86" s="120">
        <v>7.3559999999999999</v>
      </c>
      <c r="D86" s="120">
        <v>0.91020000000000001</v>
      </c>
      <c r="E86" s="120">
        <v>4.7153</v>
      </c>
      <c r="F86" s="150">
        <v>1.0956999999999999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6" x14ac:dyDescent="0.2">
      <c r="A87" s="149" t="s">
        <v>63</v>
      </c>
      <c r="B87" s="120"/>
      <c r="C87" s="120">
        <v>7.3579999999999997</v>
      </c>
      <c r="D87" s="120">
        <v>0.89739999999999998</v>
      </c>
      <c r="E87" s="120">
        <v>4.6021999999999998</v>
      </c>
      <c r="F87" s="150">
        <v>1.0693999999999999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6" x14ac:dyDescent="0.2">
      <c r="A88" s="149" t="s">
        <v>64</v>
      </c>
      <c r="B88" s="120"/>
      <c r="C88" s="120">
        <v>7.3559999999999999</v>
      </c>
      <c r="D88" s="120">
        <v>0.90069999999999995</v>
      </c>
      <c r="E88" s="120">
        <v>4.6548999999999996</v>
      </c>
      <c r="F88" s="150">
        <v>1.0817000000000001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6" x14ac:dyDescent="0.2">
      <c r="A89" s="149" t="s">
        <v>65</v>
      </c>
      <c r="B89" s="120"/>
      <c r="C89" s="120">
        <v>7.3609999999999998</v>
      </c>
      <c r="D89" s="120">
        <v>0.90429999999999999</v>
      </c>
      <c r="E89" s="120">
        <v>4.6254</v>
      </c>
      <c r="F89" s="150">
        <v>1.0748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6" x14ac:dyDescent="0.2">
      <c r="A90" s="149" t="s">
        <v>66</v>
      </c>
      <c r="B90" s="120"/>
      <c r="C90" s="120">
        <v>7.3550000000000004</v>
      </c>
      <c r="D90" s="120">
        <v>0.90249999999999997</v>
      </c>
      <c r="E90" s="120">
        <v>4.6397000000000004</v>
      </c>
      <c r="F90" s="150">
        <v>1.0782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6" x14ac:dyDescent="0.2">
      <c r="A91" s="149" t="s">
        <v>67</v>
      </c>
      <c r="B91" s="120"/>
      <c r="C91" s="120">
        <v>7.3570000000000002</v>
      </c>
      <c r="D91" s="120">
        <v>0.90010000000000001</v>
      </c>
      <c r="E91" s="120">
        <v>4.5972</v>
      </c>
      <c r="F91" s="150">
        <v>1.0683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6" x14ac:dyDescent="0.2">
      <c r="A92" s="149" t="s">
        <v>68</v>
      </c>
      <c r="B92" s="120"/>
      <c r="C92" s="120">
        <v>7.3550000000000004</v>
      </c>
      <c r="D92" s="120">
        <v>0.90110000000000001</v>
      </c>
      <c r="E92" s="120">
        <v>4.5960000000000001</v>
      </c>
      <c r="F92" s="150">
        <v>1.0680000000000001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6" x14ac:dyDescent="0.2">
      <c r="A93" s="149" t="s">
        <v>69</v>
      </c>
      <c r="B93" s="120"/>
      <c r="C93" s="120">
        <v>7.3550000000000004</v>
      </c>
      <c r="D93" s="120">
        <v>0.92090000000000005</v>
      </c>
      <c r="E93" s="120">
        <v>4.7065999999999999</v>
      </c>
      <c r="F93" s="150">
        <v>1.0936999999999999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6" x14ac:dyDescent="0.2">
      <c r="A94" s="149" t="s">
        <v>70</v>
      </c>
      <c r="B94" s="120"/>
      <c r="C94" s="120">
        <v>7.36</v>
      </c>
      <c r="D94" s="120">
        <v>0.90180000000000005</v>
      </c>
      <c r="E94" s="120">
        <v>4.5583</v>
      </c>
      <c r="F94" s="150">
        <v>1.0592999999999999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6" x14ac:dyDescent="0.2">
      <c r="A95" s="151" t="s">
        <v>71</v>
      </c>
      <c r="B95" s="121"/>
      <c r="C95" s="121">
        <v>7.3520000000000003</v>
      </c>
      <c r="D95" s="121">
        <v>0.82820000000000005</v>
      </c>
      <c r="E95" s="121">
        <v>4.1791</v>
      </c>
      <c r="F95" s="152">
        <v>0.97109999999999996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6" x14ac:dyDescent="0.2">
      <c r="A96" s="151" t="s">
        <v>35</v>
      </c>
      <c r="B96" s="121"/>
      <c r="C96" s="121">
        <v>7.3570000000000002</v>
      </c>
      <c r="D96" s="121">
        <v>0.82820000000000005</v>
      </c>
      <c r="E96" s="121">
        <v>4.1821999999999999</v>
      </c>
      <c r="F96" s="152">
        <v>0.97189999999999999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6" x14ac:dyDescent="0.2">
      <c r="A97" s="151" t="s">
        <v>36</v>
      </c>
      <c r="B97" s="121"/>
      <c r="C97" s="121">
        <v>7.3570000000000002</v>
      </c>
      <c r="D97" s="121">
        <v>0.82879999999999998</v>
      </c>
      <c r="E97" s="121">
        <v>4.1741000000000001</v>
      </c>
      <c r="F97" s="152">
        <v>0.97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6" x14ac:dyDescent="0.2">
      <c r="A98" s="151" t="s">
        <v>37</v>
      </c>
      <c r="B98" s="121"/>
      <c r="C98" s="121">
        <v>7.351</v>
      </c>
      <c r="D98" s="121">
        <v>0.80379999999999996</v>
      </c>
      <c r="E98" s="121">
        <v>4.0396000000000001</v>
      </c>
      <c r="F98" s="152">
        <v>0.93869999999999998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6" x14ac:dyDescent="0.2">
      <c r="A99" s="151" t="s">
        <v>38</v>
      </c>
      <c r="B99" s="121"/>
      <c r="C99" s="121">
        <v>7.3520000000000003</v>
      </c>
      <c r="D99" s="121">
        <v>0.80369999999999997</v>
      </c>
      <c r="E99" s="121">
        <v>4.0332999999999997</v>
      </c>
      <c r="F99" s="152">
        <v>0.93730000000000002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6" x14ac:dyDescent="0.2">
      <c r="A100" s="151" t="s">
        <v>39</v>
      </c>
      <c r="B100" s="121"/>
      <c r="C100" s="121">
        <v>7.3559999999999999</v>
      </c>
      <c r="D100" s="121">
        <v>0.79779999999999995</v>
      </c>
      <c r="E100" s="121">
        <v>4.0079000000000002</v>
      </c>
      <c r="F100" s="152">
        <v>0.93140000000000001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6" x14ac:dyDescent="0.2">
      <c r="A101" s="151" t="s">
        <v>40</v>
      </c>
      <c r="B101" s="121"/>
      <c r="C101" s="121">
        <v>7.3559999999999999</v>
      </c>
      <c r="D101" s="121">
        <v>0.83989999999999998</v>
      </c>
      <c r="E101" s="121">
        <v>4.2140000000000004</v>
      </c>
      <c r="F101" s="152">
        <v>0.97929999999999995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6" x14ac:dyDescent="0.2">
      <c r="A102" s="151" t="s">
        <v>41</v>
      </c>
      <c r="B102" s="121"/>
      <c r="C102" s="121">
        <v>7.3579999999999997</v>
      </c>
      <c r="D102" s="121">
        <v>0.83420000000000005</v>
      </c>
      <c r="E102" s="121">
        <v>4.1698000000000004</v>
      </c>
      <c r="F102" s="152">
        <v>0.96899999999999997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6" x14ac:dyDescent="0.2">
      <c r="A103" s="151" t="s">
        <v>42</v>
      </c>
      <c r="B103" s="121"/>
      <c r="C103" s="121">
        <v>7.3550000000000004</v>
      </c>
      <c r="D103" s="121">
        <v>0.81469999999999998</v>
      </c>
      <c r="E103" s="121">
        <v>4.0781999999999998</v>
      </c>
      <c r="F103" s="152">
        <v>0.94769999999999999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6" x14ac:dyDescent="0.2">
      <c r="A104" s="153" t="s">
        <v>72</v>
      </c>
      <c r="B104" s="122"/>
      <c r="C104" s="122">
        <v>7.351</v>
      </c>
      <c r="D104" s="122">
        <v>0.73029999999999995</v>
      </c>
      <c r="E104" s="122">
        <v>3.6478999999999999</v>
      </c>
      <c r="F104" s="154">
        <v>0.84770000000000001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6" x14ac:dyDescent="0.2">
      <c r="A105" s="153" t="s">
        <v>35</v>
      </c>
      <c r="B105" s="122"/>
      <c r="C105" s="122">
        <v>7.3550000000000004</v>
      </c>
      <c r="D105" s="122">
        <v>0.72560000000000002</v>
      </c>
      <c r="E105" s="122">
        <v>3.6168</v>
      </c>
      <c r="F105" s="154">
        <v>0.84050000000000002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6" x14ac:dyDescent="0.2">
      <c r="A106" s="153" t="s">
        <v>36</v>
      </c>
      <c r="B106" s="122"/>
      <c r="C106" s="122">
        <v>7.3540000000000001</v>
      </c>
      <c r="D106" s="122">
        <v>0.7248</v>
      </c>
      <c r="E106" s="122">
        <v>3.6150000000000002</v>
      </c>
      <c r="F106" s="154">
        <v>0.84009999999999996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6" x14ac:dyDescent="0.2">
      <c r="A107" s="153" t="s">
        <v>37</v>
      </c>
      <c r="B107" s="122"/>
      <c r="C107" s="122">
        <v>7.3529999999999998</v>
      </c>
      <c r="D107" s="122">
        <v>0.71830000000000005</v>
      </c>
      <c r="E107" s="122">
        <v>3.5819999999999999</v>
      </c>
      <c r="F107" s="154">
        <v>0.83240000000000003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6" x14ac:dyDescent="0.2">
      <c r="A108" s="153" t="s">
        <v>38</v>
      </c>
      <c r="B108" s="122"/>
      <c r="C108" s="122">
        <v>7.3540000000000001</v>
      </c>
      <c r="D108" s="122">
        <v>0.72889999999999999</v>
      </c>
      <c r="E108" s="122">
        <v>3.6151</v>
      </c>
      <c r="F108" s="154">
        <v>0.84009999999999996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6" x14ac:dyDescent="0.2">
      <c r="A109" s="153" t="s">
        <v>39</v>
      </c>
      <c r="B109" s="122"/>
      <c r="C109" s="122">
        <v>7.3529999999999998</v>
      </c>
      <c r="D109" s="122">
        <v>0.73629999999999995</v>
      </c>
      <c r="E109" s="122">
        <v>3.6547000000000001</v>
      </c>
      <c r="F109" s="154">
        <v>0.84930000000000005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6" x14ac:dyDescent="0.2">
      <c r="A110" s="153" t="s">
        <v>40</v>
      </c>
      <c r="B110" s="122"/>
      <c r="C110" s="122">
        <v>7.3490000000000002</v>
      </c>
      <c r="D110" s="122">
        <v>0.74870000000000003</v>
      </c>
      <c r="E110" s="122">
        <v>3.7010999999999998</v>
      </c>
      <c r="F110" s="154">
        <v>0.86009999999999998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6" x14ac:dyDescent="0.2">
      <c r="A111" s="153" t="s">
        <v>41</v>
      </c>
      <c r="B111" s="122"/>
      <c r="C111" s="122">
        <v>7.3540000000000001</v>
      </c>
      <c r="D111" s="122">
        <v>0.74080000000000001</v>
      </c>
      <c r="E111" s="122">
        <v>3.6778</v>
      </c>
      <c r="F111" s="154">
        <v>0.85460000000000003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6" x14ac:dyDescent="0.2">
      <c r="A112" s="153" t="s">
        <v>42</v>
      </c>
      <c r="B112" s="122"/>
      <c r="C112" s="122">
        <v>7.3529999999999998</v>
      </c>
      <c r="D112" s="122">
        <v>0.74650000000000005</v>
      </c>
      <c r="E112" s="122">
        <v>3.6916000000000002</v>
      </c>
      <c r="F112" s="154">
        <v>0.85780000000000001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6" x14ac:dyDescent="0.2">
      <c r="A113" s="153" t="s">
        <v>43</v>
      </c>
      <c r="B113" s="122"/>
      <c r="C113" s="122">
        <v>7.3559999999999999</v>
      </c>
      <c r="D113" s="122">
        <v>0.71460000000000001</v>
      </c>
      <c r="E113" s="122">
        <v>3.5272999999999999</v>
      </c>
      <c r="F113" s="154">
        <v>0.81969999999999998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6" x14ac:dyDescent="0.2">
      <c r="A114" s="153" t="s">
        <v>44</v>
      </c>
      <c r="B114" s="122"/>
      <c r="C114" s="122">
        <v>7.3559999999999999</v>
      </c>
      <c r="D114" s="122">
        <v>0.79210000000000003</v>
      </c>
      <c r="E114" s="122">
        <v>3.9232999999999998</v>
      </c>
      <c r="F114" s="154">
        <v>0.91169999999999995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6" x14ac:dyDescent="0.2">
      <c r="A115" s="153" t="s">
        <v>45</v>
      </c>
      <c r="B115" s="122"/>
      <c r="C115" s="122">
        <v>7.3559999999999999</v>
      </c>
      <c r="D115" s="122">
        <v>0.79600000000000004</v>
      </c>
      <c r="E115" s="122">
        <v>3.9363999999999999</v>
      </c>
      <c r="F115" s="154">
        <v>0.91469999999999996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6" x14ac:dyDescent="0.2">
      <c r="A116" s="153" t="s">
        <v>46</v>
      </c>
      <c r="B116" s="122"/>
      <c r="C116" s="122">
        <v>7.3570000000000002</v>
      </c>
      <c r="D116" s="122">
        <v>0.75019999999999998</v>
      </c>
      <c r="E116" s="122">
        <v>3.7031000000000001</v>
      </c>
      <c r="F116" s="154">
        <v>0.86050000000000004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6" x14ac:dyDescent="0.2">
      <c r="A117" s="153" t="s">
        <v>47</v>
      </c>
      <c r="B117" s="122"/>
      <c r="C117" s="122">
        <v>7.3490000000000002</v>
      </c>
      <c r="D117" s="122">
        <v>0.74339999999999995</v>
      </c>
      <c r="E117" s="122">
        <v>3.6789999999999998</v>
      </c>
      <c r="F117" s="154">
        <v>0.85489999999999999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6" x14ac:dyDescent="0.2">
      <c r="A118" s="153" t="s">
        <v>48</v>
      </c>
      <c r="B118" s="122"/>
      <c r="C118" s="122">
        <v>7.3579999999999997</v>
      </c>
      <c r="D118" s="122">
        <v>0.74770000000000003</v>
      </c>
      <c r="E118" s="122">
        <v>3.6937000000000002</v>
      </c>
      <c r="F118" s="154">
        <v>0.85829999999999995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6" x14ac:dyDescent="0.2">
      <c r="A119" s="153" t="s">
        <v>49</v>
      </c>
      <c r="B119" s="122"/>
      <c r="C119" s="122">
        <v>7.3520000000000003</v>
      </c>
      <c r="D119" s="122">
        <v>0.80230000000000001</v>
      </c>
      <c r="E119" s="122">
        <v>3.9822000000000002</v>
      </c>
      <c r="F119" s="154">
        <v>0.9254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6" x14ac:dyDescent="0.2">
      <c r="A120" s="153" t="s">
        <v>50</v>
      </c>
      <c r="B120" s="122"/>
      <c r="C120" s="122">
        <v>7.3529999999999998</v>
      </c>
      <c r="D120" s="122">
        <v>0.79969999999999997</v>
      </c>
      <c r="E120" s="122">
        <v>3.9356</v>
      </c>
      <c r="F120" s="154">
        <v>0.91449999999999998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6" x14ac:dyDescent="0.2">
      <c r="A121" s="153" t="s">
        <v>51</v>
      </c>
      <c r="B121" s="122"/>
      <c r="C121" s="122">
        <v>7.351</v>
      </c>
      <c r="D121" s="122">
        <v>0.79879999999999995</v>
      </c>
      <c r="E121" s="122">
        <v>3.9744000000000002</v>
      </c>
      <c r="F121" s="154">
        <v>0.92359999999999998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6" x14ac:dyDescent="0.2">
      <c r="A122" s="155" t="s">
        <v>115</v>
      </c>
      <c r="B122" s="123"/>
      <c r="C122" s="123">
        <v>7.3559999999999999</v>
      </c>
      <c r="D122" s="123">
        <v>0.67600000000000005</v>
      </c>
      <c r="E122" s="123">
        <v>3.3593000000000002</v>
      </c>
      <c r="F122" s="156">
        <v>0.78059999999999996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6" x14ac:dyDescent="0.2">
      <c r="A123" s="155" t="s">
        <v>116</v>
      </c>
      <c r="B123" s="123"/>
      <c r="C123" s="123">
        <v>7.3529999999999998</v>
      </c>
      <c r="D123" s="123">
        <v>0.69669999999999999</v>
      </c>
      <c r="E123" s="123">
        <v>3.3708999999999998</v>
      </c>
      <c r="F123" s="156">
        <v>0.7833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6" x14ac:dyDescent="0.2">
      <c r="A124" s="155" t="s">
        <v>117</v>
      </c>
      <c r="B124" s="123"/>
      <c r="C124" s="123">
        <v>7.3529999999999998</v>
      </c>
      <c r="D124" s="123">
        <v>0.74080000000000001</v>
      </c>
      <c r="E124" s="123">
        <v>3.5701999999999998</v>
      </c>
      <c r="F124" s="156">
        <v>0.8296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6" x14ac:dyDescent="0.2">
      <c r="A125" s="155" t="s">
        <v>118</v>
      </c>
      <c r="B125" s="123"/>
      <c r="C125" s="123">
        <v>7.35</v>
      </c>
      <c r="D125" s="123">
        <v>0.69569999999999999</v>
      </c>
      <c r="E125" s="123">
        <v>3.4081999999999999</v>
      </c>
      <c r="F125" s="156">
        <v>0.79200000000000004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6" x14ac:dyDescent="0.2">
      <c r="A126" s="155" t="s">
        <v>119</v>
      </c>
      <c r="B126" s="123"/>
      <c r="C126" s="123">
        <v>7.3529999999999998</v>
      </c>
      <c r="D126" s="123">
        <v>0.67069999999999996</v>
      </c>
      <c r="E126" s="123">
        <v>3.1511</v>
      </c>
      <c r="F126" s="156">
        <v>0.73219999999999996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6" x14ac:dyDescent="0.2">
      <c r="A127" s="155" t="s">
        <v>120</v>
      </c>
      <c r="B127" s="123"/>
      <c r="C127" s="123">
        <v>7.3550000000000004</v>
      </c>
      <c r="D127" s="123">
        <v>0.68610000000000004</v>
      </c>
      <c r="E127" s="123">
        <v>3.2195</v>
      </c>
      <c r="F127" s="156">
        <v>0.74809999999999999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6" x14ac:dyDescent="0.2">
      <c r="A128" s="155" t="s">
        <v>121</v>
      </c>
      <c r="B128" s="123"/>
      <c r="C128" s="123">
        <v>7.3540000000000001</v>
      </c>
      <c r="D128" s="123">
        <v>0.66949999999999998</v>
      </c>
      <c r="E128" s="123">
        <v>3.2357999999999998</v>
      </c>
      <c r="F128" s="156">
        <v>0.75190000000000001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53" ht="16" x14ac:dyDescent="0.2">
      <c r="A129" s="155" t="s">
        <v>122</v>
      </c>
      <c r="B129" s="123"/>
      <c r="C129" s="123">
        <v>7.359</v>
      </c>
      <c r="D129" s="123">
        <v>0.66149999999999998</v>
      </c>
      <c r="E129" s="123">
        <v>3.2869999999999999</v>
      </c>
      <c r="F129" s="156">
        <v>0.76380000000000003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53" ht="17" thickBot="1" x14ac:dyDescent="0.25">
      <c r="A130" s="157" t="s">
        <v>123</v>
      </c>
      <c r="B130" s="158"/>
      <c r="C130" s="158">
        <v>7.3540000000000001</v>
      </c>
      <c r="D130" s="158">
        <v>0.67069999999999996</v>
      </c>
      <c r="E130" s="158">
        <v>3.2847</v>
      </c>
      <c r="F130" s="159">
        <v>0.76329999999999998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53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</row>
    <row r="132" spans="1:53" x14ac:dyDescent="0.2">
      <c r="A132" s="11"/>
      <c r="B132" s="11"/>
      <c r="C132" s="112"/>
      <c r="D132" s="112"/>
      <c r="E132" s="112"/>
      <c r="F132" s="1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</row>
    <row r="133" spans="1:53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</row>
    <row r="134" spans="1:53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</row>
    <row r="135" spans="1:53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</row>
    <row r="136" spans="1:53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</row>
    <row r="137" spans="1:53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</row>
    <row r="138" spans="1:53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spans="1:53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</row>
    <row r="140" spans="1:53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</row>
    <row r="141" spans="1:53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</row>
    <row r="142" spans="1:53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</row>
    <row r="143" spans="1:53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</row>
    <row r="144" spans="1:53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</row>
    <row r="145" spans="1:53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</row>
    <row r="146" spans="1:53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</row>
    <row r="147" spans="1:53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</row>
    <row r="148" spans="1:53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</row>
    <row r="149" spans="1:53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</row>
    <row r="150" spans="1:53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</row>
    <row r="151" spans="1:53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</row>
    <row r="152" spans="1:53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</row>
    <row r="153" spans="1:53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</row>
    <row r="154" spans="1:53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</row>
    <row r="155" spans="1:53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</row>
    <row r="156" spans="1:53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</row>
    <row r="157" spans="1:53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</row>
    <row r="158" spans="1:53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</row>
    <row r="159" spans="1:53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</row>
    <row r="160" spans="1:53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</row>
    <row r="161" spans="1:53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</row>
    <row r="162" spans="1:53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</row>
    <row r="163" spans="1:53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</row>
    <row r="164" spans="1:53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</row>
    <row r="165" spans="1:53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</row>
    <row r="166" spans="1:53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</row>
    <row r="167" spans="1:53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</row>
    <row r="168" spans="1:53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</row>
    <row r="169" spans="1:53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</row>
    <row r="170" spans="1:53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</row>
    <row r="171" spans="1:53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</row>
    <row r="172" spans="1:53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</row>
    <row r="173" spans="1:53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</row>
    <row r="174" spans="1:53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</row>
    <row r="175" spans="1:53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</row>
    <row r="176" spans="1:53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</row>
    <row r="177" spans="1:53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</row>
    <row r="178" spans="1:53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</row>
    <row r="179" spans="1:53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</row>
    <row r="180" spans="1:53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</row>
    <row r="181" spans="1:53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</row>
    <row r="182" spans="1:53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</row>
    <row r="183" spans="1:53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</row>
    <row r="184" spans="1:53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</row>
    <row r="185" spans="1:53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</row>
    <row r="186" spans="1:53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</row>
    <row r="187" spans="1:53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</row>
    <row r="188" spans="1:53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</row>
    <row r="189" spans="1:53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</row>
    <row r="190" spans="1:53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</row>
    <row r="191" spans="1:53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</row>
    <row r="192" spans="1:53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</row>
    <row r="193" spans="1:53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</row>
    <row r="194" spans="1:53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</row>
    <row r="195" spans="1:53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</row>
    <row r="196" spans="1:53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</row>
    <row r="197" spans="1:53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</row>
    <row r="198" spans="1:53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</row>
    <row r="199" spans="1:53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</row>
    <row r="200" spans="1:53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</row>
    <row r="201" spans="1:53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</row>
    <row r="202" spans="1:53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</row>
    <row r="203" spans="1:53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</row>
    <row r="204" spans="1:53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</row>
    <row r="205" spans="1:53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</row>
    <row r="206" spans="1:53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</row>
    <row r="207" spans="1:53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</row>
    <row r="208" spans="1:53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</row>
    <row r="209" spans="1:53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</row>
    <row r="210" spans="1:53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</row>
    <row r="211" spans="1:53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</row>
    <row r="212" spans="1:53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</row>
    <row r="213" spans="1:53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</row>
    <row r="214" spans="1:53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</row>
    <row r="215" spans="1:53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</row>
    <row r="216" spans="1:53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</row>
    <row r="217" spans="1:53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</row>
    <row r="218" spans="1:53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</row>
    <row r="219" spans="1:53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</row>
    <row r="220" spans="1:53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</row>
    <row r="221" spans="1:53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</row>
    <row r="222" spans="1:53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</row>
    <row r="223" spans="1:53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</row>
    <row r="224" spans="1:53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</row>
    <row r="225" spans="1:53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</row>
    <row r="226" spans="1:53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</row>
    <row r="227" spans="1:53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</row>
    <row r="228" spans="1:53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</row>
    <row r="229" spans="1:53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</row>
    <row r="230" spans="1:53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</row>
    <row r="231" spans="1:53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</row>
    <row r="232" spans="1:53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</row>
    <row r="233" spans="1:53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</row>
    <row r="234" spans="1:53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</row>
    <row r="235" spans="1:53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</row>
    <row r="236" spans="1:53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</row>
    <row r="237" spans="1:53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</row>
    <row r="238" spans="1:53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</row>
    <row r="239" spans="1:53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</row>
    <row r="240" spans="1:53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</row>
    <row r="241" spans="1:53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</row>
    <row r="242" spans="1:53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</row>
    <row r="243" spans="1:53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</row>
    <row r="244" spans="1:53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</row>
    <row r="245" spans="1:53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</row>
    <row r="246" spans="1:53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</row>
    <row r="247" spans="1:53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</row>
    <row r="248" spans="1:53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</row>
    <row r="249" spans="1:53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</row>
    <row r="250" spans="1:53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</row>
    <row r="251" spans="1:53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</row>
    <row r="252" spans="1:53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</row>
    <row r="253" spans="1:53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</row>
    <row r="254" spans="1:53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</row>
    <row r="255" spans="1:53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</row>
    <row r="256" spans="1:53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</row>
    <row r="257" spans="1:53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</row>
    <row r="258" spans="1:53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</row>
    <row r="259" spans="1:53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</row>
    <row r="260" spans="1:53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</row>
    <row r="261" spans="1:53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</row>
    <row r="262" spans="1:53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</row>
    <row r="263" spans="1:53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</row>
    <row r="264" spans="1:53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</row>
    <row r="265" spans="1:53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</row>
    <row r="266" spans="1:53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</row>
    <row r="267" spans="1:53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</row>
    <row r="268" spans="1:53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</row>
    <row r="269" spans="1:53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</row>
    <row r="270" spans="1:53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</row>
    <row r="271" spans="1:53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</row>
    <row r="272" spans="1:53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</row>
    <row r="273" spans="1:53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</row>
    <row r="274" spans="1:53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</row>
    <row r="275" spans="1:53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</row>
    <row r="276" spans="1:53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</row>
    <row r="277" spans="1:53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</row>
    <row r="278" spans="1:53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</row>
    <row r="279" spans="1:53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</row>
    <row r="280" spans="1:53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</row>
    <row r="281" spans="1:53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</row>
    <row r="282" spans="1:53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</row>
    <row r="283" spans="1:53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</row>
    <row r="284" spans="1:53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</row>
    <row r="285" spans="1:53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</row>
    <row r="286" spans="1:53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</row>
    <row r="287" spans="1:53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</row>
    <row r="288" spans="1:53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</row>
    <row r="289" spans="1:53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</row>
    <row r="290" spans="1:53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</row>
    <row r="291" spans="1:53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</row>
    <row r="292" spans="1:53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</row>
    <row r="293" spans="1:53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</row>
    <row r="294" spans="1:53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</row>
    <row r="295" spans="1:53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</row>
    <row r="296" spans="1:53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</row>
    <row r="297" spans="1:53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</row>
    <row r="298" spans="1:53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</row>
    <row r="299" spans="1:53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</row>
    <row r="300" spans="1:53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</row>
    <row r="301" spans="1:53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</row>
    <row r="302" spans="1:53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</row>
    <row r="303" spans="1:53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</row>
    <row r="304" spans="1:53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</row>
    <row r="305" spans="1:53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</row>
    <row r="306" spans="1:53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</row>
    <row r="307" spans="1:53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</row>
    <row r="308" spans="1:53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</row>
    <row r="309" spans="1:53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</row>
    <row r="310" spans="1:53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</row>
    <row r="311" spans="1:53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</row>
    <row r="312" spans="1:53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</row>
    <row r="313" spans="1:53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</row>
    <row r="314" spans="1:53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</row>
    <row r="315" spans="1:53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</row>
    <row r="316" spans="1:53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</row>
    <row r="317" spans="1:53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</row>
    <row r="318" spans="1:53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</row>
    <row r="319" spans="1:53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</row>
    <row r="320" spans="1:53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</row>
    <row r="321" spans="1:53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</row>
    <row r="322" spans="1:53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</row>
    <row r="323" spans="1:53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</row>
    <row r="324" spans="1:53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</row>
    <row r="325" spans="1:53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</row>
    <row r="326" spans="1:53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</row>
    <row r="327" spans="1:53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</row>
    <row r="328" spans="1:53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</row>
    <row r="329" spans="1:53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</row>
    <row r="330" spans="1:53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</row>
    <row r="331" spans="1:53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</row>
    <row r="332" spans="1:53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</row>
    <row r="333" spans="1:53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</row>
    <row r="334" spans="1:53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</row>
    <row r="335" spans="1:53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</row>
    <row r="336" spans="1:53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</row>
    <row r="337" spans="1:53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</row>
    <row r="338" spans="1:53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</row>
    <row r="339" spans="1:53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</row>
    <row r="340" spans="1:53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</row>
    <row r="341" spans="1:53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</row>
    <row r="342" spans="1:53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</row>
    <row r="343" spans="1:53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</row>
    <row r="344" spans="1:53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</row>
    <row r="345" spans="1:53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</row>
    <row r="346" spans="1:53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</row>
    <row r="347" spans="1:53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</row>
    <row r="348" spans="1:53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</row>
    <row r="349" spans="1:53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</row>
    <row r="350" spans="1:53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</row>
    <row r="351" spans="1:53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</row>
    <row r="352" spans="1:53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</row>
    <row r="353" spans="1:53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</row>
    <row r="354" spans="1:53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</row>
    <row r="355" spans="1:53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</row>
    <row r="356" spans="1:53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</row>
    <row r="357" spans="1:53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</row>
    <row r="358" spans="1:53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</row>
    <row r="359" spans="1:53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</row>
    <row r="360" spans="1:53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</row>
    <row r="361" spans="1:53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</row>
    <row r="362" spans="1:53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</row>
    <row r="363" spans="1:53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</row>
    <row r="364" spans="1:53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</row>
    <row r="365" spans="1:53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</row>
    <row r="366" spans="1:53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</row>
    <row r="367" spans="1:53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</row>
    <row r="368" spans="1:53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</row>
    <row r="369" spans="1:53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</row>
    <row r="370" spans="1:53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</row>
    <row r="371" spans="1:53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</row>
    <row r="372" spans="1:53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</row>
    <row r="373" spans="1:53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</row>
    <row r="374" spans="1:53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</row>
    <row r="375" spans="1:53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</row>
    <row r="376" spans="1:53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</row>
    <row r="377" spans="1:53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</row>
    <row r="378" spans="1:53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</row>
    <row r="379" spans="1:53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</row>
    <row r="380" spans="1:53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</row>
    <row r="381" spans="1:53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</row>
    <row r="382" spans="1:53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</row>
    <row r="383" spans="1:53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</row>
    <row r="384" spans="1:53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</row>
    <row r="385" spans="1:53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</row>
    <row r="386" spans="1:53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</row>
    <row r="387" spans="1:53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</row>
    <row r="388" spans="1:53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</row>
    <row r="389" spans="1:53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</row>
    <row r="390" spans="1:53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</row>
    <row r="391" spans="1:53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</row>
    <row r="392" spans="1:53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</row>
    <row r="393" spans="1:53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</row>
    <row r="394" spans="1:53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</row>
    <row r="395" spans="1:53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</row>
    <row r="396" spans="1:53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</row>
    <row r="397" spans="1:53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</row>
    <row r="398" spans="1:53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</row>
    <row r="399" spans="1:53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</row>
    <row r="400" spans="1:53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H44"/>
  <sheetViews>
    <sheetView workbookViewId="0"/>
  </sheetViews>
  <sheetFormatPr baseColWidth="10" defaultColWidth="8.83203125" defaultRowHeight="15" x14ac:dyDescent="0.2"/>
  <cols>
    <col min="1" max="1" width="27" style="11" bestFit="1" customWidth="1"/>
    <col min="2" max="2" width="8.83203125" style="11"/>
    <col min="3" max="3" width="25.6640625" style="11" bestFit="1" customWidth="1"/>
    <col min="4" max="4" width="21.5" style="11" bestFit="1" customWidth="1"/>
    <col min="5" max="5" width="32.1640625" style="11" bestFit="1" customWidth="1"/>
    <col min="6" max="6" width="58.83203125" style="11" bestFit="1" customWidth="1"/>
    <col min="7" max="7" width="14.5" style="11" bestFit="1" customWidth="1"/>
    <col min="8" max="8" width="58.83203125" style="11" bestFit="1" customWidth="1"/>
    <col min="9" max="16384" width="8.83203125" style="11"/>
  </cols>
  <sheetData>
    <row r="1" spans="1:8" x14ac:dyDescent="0.2">
      <c r="A1" s="190" t="s">
        <v>0</v>
      </c>
    </row>
    <row r="2" spans="1:8" ht="16" thickBot="1" x14ac:dyDescent="0.25"/>
    <row r="3" spans="1:8" x14ac:dyDescent="0.2">
      <c r="A3" s="50" t="s">
        <v>14</v>
      </c>
      <c r="B3" s="50">
        <v>17.399999999999999</v>
      </c>
      <c r="E3" s="12" t="s">
        <v>267</v>
      </c>
      <c r="F3" s="14" t="s">
        <v>268</v>
      </c>
      <c r="G3" s="5"/>
      <c r="H3" s="5"/>
    </row>
    <row r="4" spans="1:8" x14ac:dyDescent="0.2">
      <c r="E4" s="4"/>
      <c r="F4" s="6"/>
      <c r="G4" s="5"/>
      <c r="H4" s="5"/>
    </row>
    <row r="5" spans="1:8" x14ac:dyDescent="0.2">
      <c r="E5" s="35" t="s">
        <v>266</v>
      </c>
      <c r="F5" s="6" t="s">
        <v>269</v>
      </c>
      <c r="G5" s="5"/>
      <c r="H5" s="5"/>
    </row>
    <row r="6" spans="1:8" x14ac:dyDescent="0.2">
      <c r="E6" s="35" t="s">
        <v>270</v>
      </c>
      <c r="F6" s="6" t="s">
        <v>271</v>
      </c>
      <c r="G6" s="5"/>
      <c r="H6" s="5"/>
    </row>
    <row r="7" spans="1:8" ht="16" thickBot="1" x14ac:dyDescent="0.25">
      <c r="E7" s="15" t="s">
        <v>272</v>
      </c>
      <c r="F7" s="9" t="s">
        <v>273</v>
      </c>
      <c r="G7" s="5"/>
      <c r="H7" s="5"/>
    </row>
    <row r="9" spans="1:8" ht="16" thickBot="1" x14ac:dyDescent="0.25"/>
    <row r="10" spans="1:8" x14ac:dyDescent="0.2">
      <c r="B10" s="43" t="s">
        <v>243</v>
      </c>
      <c r="C10" s="33" t="s">
        <v>264</v>
      </c>
      <c r="D10" s="33" t="s">
        <v>265</v>
      </c>
      <c r="E10" s="34" t="s">
        <v>263</v>
      </c>
    </row>
    <row r="11" spans="1:8" ht="16" thickBot="1" x14ac:dyDescent="0.25">
      <c r="B11" s="61" t="s">
        <v>244</v>
      </c>
      <c r="C11" s="53" t="s">
        <v>245</v>
      </c>
      <c r="D11" s="53" t="s">
        <v>245</v>
      </c>
      <c r="E11" s="55" t="s">
        <v>246</v>
      </c>
    </row>
    <row r="12" spans="1:8" x14ac:dyDescent="0.2">
      <c r="A12" s="180" t="s">
        <v>9</v>
      </c>
      <c r="B12" s="171">
        <f>'1 Samples'!M69</f>
        <v>15.06</v>
      </c>
      <c r="C12" s="172">
        <f>B12/$B$3</f>
        <v>0.86551724137931041</v>
      </c>
      <c r="D12" s="172">
        <f>'2 Raw data HPLC '!F128</f>
        <v>0.75190000000000001</v>
      </c>
      <c r="E12" s="173">
        <f>D12/C12*100</f>
        <v>86.872908366533864</v>
      </c>
    </row>
    <row r="13" spans="1:8" x14ac:dyDescent="0.2">
      <c r="A13" s="23" t="s">
        <v>10</v>
      </c>
      <c r="B13" s="171">
        <f>'1 Samples'!M70</f>
        <v>15.16</v>
      </c>
      <c r="C13" s="172">
        <f>B13/$B$3</f>
        <v>0.87126436781609207</v>
      </c>
      <c r="D13" s="172">
        <f>'2 Raw data HPLC '!F129</f>
        <v>0.76380000000000003</v>
      </c>
      <c r="E13" s="173">
        <f>D13/C13*100</f>
        <v>87.665699208443257</v>
      </c>
    </row>
    <row r="14" spans="1:8" x14ac:dyDescent="0.2">
      <c r="A14" s="23" t="s">
        <v>11</v>
      </c>
      <c r="B14" s="171">
        <f>'1 Samples'!M71</f>
        <v>15.24</v>
      </c>
      <c r="C14" s="172">
        <f>B14/$B$3</f>
        <v>0.87586206896551733</v>
      </c>
      <c r="D14" s="172">
        <f>'2 Raw data HPLC '!F130</f>
        <v>0.76329999999999998</v>
      </c>
      <c r="E14" s="173">
        <f>D14/C14*100</f>
        <v>87.148425196850383</v>
      </c>
    </row>
    <row r="15" spans="1:8" x14ac:dyDescent="0.2">
      <c r="A15" s="23"/>
      <c r="B15" s="172"/>
      <c r="C15" s="172"/>
      <c r="D15" s="172"/>
      <c r="E15" s="173"/>
    </row>
    <row r="16" spans="1:8" x14ac:dyDescent="0.2">
      <c r="A16" s="24"/>
      <c r="B16" s="172"/>
      <c r="C16" s="172"/>
      <c r="D16" s="177" t="s">
        <v>5</v>
      </c>
      <c r="E16" s="174">
        <f>AVERAGE(E12:E14)</f>
        <v>87.229010923942496</v>
      </c>
    </row>
    <row r="17" spans="1:5" ht="16" thickBot="1" x14ac:dyDescent="0.25">
      <c r="A17" s="25"/>
      <c r="B17" s="175"/>
      <c r="C17" s="175"/>
      <c r="D17" s="178" t="s">
        <v>4</v>
      </c>
      <c r="E17" s="176">
        <f>_xlfn.STDEV.S(E12:E14)</f>
        <v>0.40249207981285229</v>
      </c>
    </row>
    <row r="18" spans="1:5" x14ac:dyDescent="0.2">
      <c r="A18" s="22"/>
      <c r="B18" s="2"/>
      <c r="C18" s="2"/>
      <c r="D18" s="2"/>
      <c r="E18" s="3"/>
    </row>
    <row r="19" spans="1:5" x14ac:dyDescent="0.2">
      <c r="A19" s="19" t="s">
        <v>6</v>
      </c>
      <c r="B19" s="169">
        <f>'1 Samples'!M65</f>
        <v>15</v>
      </c>
      <c r="C19" s="39">
        <f>B19/$B$3</f>
        <v>0.86206896551724144</v>
      </c>
      <c r="D19" s="39">
        <f>'2 Raw data HPLC '!F125</f>
        <v>0.79200000000000004</v>
      </c>
      <c r="E19" s="47">
        <f>D19/C19*100</f>
        <v>91.872</v>
      </c>
    </row>
    <row r="20" spans="1:5" x14ac:dyDescent="0.2">
      <c r="A20" s="19" t="s">
        <v>7</v>
      </c>
      <c r="B20" s="169">
        <f>'1 Samples'!M66</f>
        <v>15</v>
      </c>
      <c r="C20" s="39">
        <f>B20/$B$3</f>
        <v>0.86206896551724144</v>
      </c>
      <c r="D20" s="39">
        <f>'2 Raw data HPLC '!F126</f>
        <v>0.73219999999999996</v>
      </c>
      <c r="E20" s="47">
        <f>D20/C20*100</f>
        <v>84.935199999999995</v>
      </c>
    </row>
    <row r="21" spans="1:5" x14ac:dyDescent="0.2">
      <c r="A21" s="19" t="s">
        <v>8</v>
      </c>
      <c r="B21" s="169">
        <f>'1 Samples'!M67</f>
        <v>15</v>
      </c>
      <c r="C21" s="39">
        <f>B21/$B$3</f>
        <v>0.86206896551724144</v>
      </c>
      <c r="D21" s="39">
        <f>'2 Raw data HPLC '!F127</f>
        <v>0.74809999999999999</v>
      </c>
      <c r="E21" s="47">
        <f>D21/C21*100</f>
        <v>86.779599999999988</v>
      </c>
    </row>
    <row r="22" spans="1:5" x14ac:dyDescent="0.2">
      <c r="A22" s="19"/>
      <c r="B22" s="39"/>
      <c r="C22" s="39"/>
      <c r="D22" s="39"/>
      <c r="E22" s="47"/>
    </row>
    <row r="23" spans="1:5" x14ac:dyDescent="0.2">
      <c r="A23" s="20"/>
      <c r="B23" s="39"/>
      <c r="C23" s="39"/>
      <c r="D23" s="170" t="s">
        <v>5</v>
      </c>
      <c r="E23" s="163">
        <f>AVERAGE(E19:E21)</f>
        <v>87.862266666666656</v>
      </c>
    </row>
    <row r="24" spans="1:5" ht="16" thickBot="1" x14ac:dyDescent="0.25">
      <c r="A24" s="20"/>
      <c r="B24" s="39"/>
      <c r="C24" s="39"/>
      <c r="D24" s="170" t="s">
        <v>4</v>
      </c>
      <c r="E24" s="163">
        <f>_xlfn.STDEV.S(E19:E21)</f>
        <v>3.5928990931187257</v>
      </c>
    </row>
    <row r="25" spans="1:5" x14ac:dyDescent="0.2">
      <c r="A25" s="18" t="s">
        <v>1</v>
      </c>
      <c r="B25" s="168">
        <f>'1 Samples'!M61</f>
        <v>15.21</v>
      </c>
      <c r="C25" s="38">
        <f>B25/$B$3</f>
        <v>0.8741379310344829</v>
      </c>
      <c r="D25" s="38">
        <f>'2 Raw data HPLC '!F122</f>
        <v>0.78059999999999996</v>
      </c>
      <c r="E25" s="45">
        <f>D25/C25*100</f>
        <v>89.299408284023656</v>
      </c>
    </row>
    <row r="26" spans="1:5" x14ac:dyDescent="0.2">
      <c r="A26" s="19" t="s">
        <v>2</v>
      </c>
      <c r="B26" s="169">
        <f>'1 Samples'!M62</f>
        <v>15.17</v>
      </c>
      <c r="C26" s="39">
        <f>B26/$B$3</f>
        <v>0.87183908045977021</v>
      </c>
      <c r="D26" s="39">
        <f>'2 Raw data HPLC '!F123</f>
        <v>0.7833</v>
      </c>
      <c r="E26" s="47">
        <f>D26/C26*100</f>
        <v>89.84456163480553</v>
      </c>
    </row>
    <row r="27" spans="1:5" x14ac:dyDescent="0.2">
      <c r="A27" s="19" t="s">
        <v>3</v>
      </c>
      <c r="B27" s="169">
        <f>'1 Samples'!M63</f>
        <v>15.78</v>
      </c>
      <c r="C27" s="39">
        <f>B27/$B$3</f>
        <v>0.90689655172413797</v>
      </c>
      <c r="D27" s="39">
        <f>'2 Raw data HPLC '!F124</f>
        <v>0.8296</v>
      </c>
      <c r="E27" s="47">
        <f>D27/C27*100</f>
        <v>91.476806083650189</v>
      </c>
    </row>
    <row r="28" spans="1:5" x14ac:dyDescent="0.2">
      <c r="A28" s="20"/>
      <c r="B28" s="5"/>
      <c r="C28" s="5"/>
      <c r="D28" s="5"/>
      <c r="E28" s="6"/>
    </row>
    <row r="29" spans="1:5" x14ac:dyDescent="0.2">
      <c r="A29" s="20"/>
      <c r="B29" s="5"/>
      <c r="C29" s="5"/>
      <c r="D29" s="16" t="s">
        <v>5</v>
      </c>
      <c r="E29" s="163">
        <f>AVERAGE(E25:E27)</f>
        <v>90.206925334159791</v>
      </c>
    </row>
    <row r="30" spans="1:5" ht="16" thickBot="1" x14ac:dyDescent="0.25">
      <c r="A30" s="21"/>
      <c r="B30" s="8"/>
      <c r="C30" s="8"/>
      <c r="D30" s="17" t="s">
        <v>4</v>
      </c>
      <c r="E30" s="165">
        <f>_xlfn.STDEV.S(E25:E27)</f>
        <v>1.1330251022867481</v>
      </c>
    </row>
    <row r="31" spans="1:5" x14ac:dyDescent="0.2">
      <c r="A31" s="22"/>
      <c r="B31" s="38"/>
      <c r="C31" s="38"/>
      <c r="D31" s="38"/>
      <c r="E31" s="45"/>
    </row>
    <row r="32" spans="1:5" x14ac:dyDescent="0.2">
      <c r="A32" s="19" t="s">
        <v>274</v>
      </c>
      <c r="B32" s="169">
        <f>'1 Samples'!M38</f>
        <v>15.4</v>
      </c>
      <c r="C32" s="39">
        <f>B32/$B$3</f>
        <v>0.88505747126436796</v>
      </c>
      <c r="D32" s="39">
        <f>'2 Raw data HPLC '!F83</f>
        <v>0.85599999999999998</v>
      </c>
      <c r="E32" s="47">
        <f>D32/C32*100</f>
        <v>96.716883116883096</v>
      </c>
    </row>
    <row r="33" spans="1:5" x14ac:dyDescent="0.2">
      <c r="A33" s="19" t="s">
        <v>275</v>
      </c>
      <c r="B33" s="169">
        <f>'1 Samples'!M39</f>
        <v>14.9</v>
      </c>
      <c r="C33" s="39">
        <f>B33/$B$3</f>
        <v>0.85632183908045989</v>
      </c>
      <c r="D33" s="39">
        <f>'2 Raw data HPLC '!F84</f>
        <v>0.80110000000000003</v>
      </c>
      <c r="E33" s="47">
        <f>D33/C33*100</f>
        <v>93.551275167785235</v>
      </c>
    </row>
    <row r="34" spans="1:5" x14ac:dyDescent="0.2">
      <c r="A34" s="19" t="s">
        <v>276</v>
      </c>
      <c r="B34" s="169">
        <f>'1 Samples'!M40</f>
        <v>14.9</v>
      </c>
      <c r="C34" s="39">
        <f>B34/$B$3</f>
        <v>0.85632183908045989</v>
      </c>
      <c r="D34" s="39">
        <f>'2 Raw data HPLC '!F85</f>
        <v>0.68969999999999998</v>
      </c>
      <c r="E34" s="47">
        <f>D34/C34*100</f>
        <v>80.542147651006701</v>
      </c>
    </row>
    <row r="35" spans="1:5" x14ac:dyDescent="0.2">
      <c r="A35" s="20"/>
      <c r="B35" s="39"/>
      <c r="C35" s="39"/>
      <c r="D35" s="39"/>
      <c r="E35" s="47"/>
    </row>
    <row r="36" spans="1:5" x14ac:dyDescent="0.2">
      <c r="A36" s="20"/>
      <c r="B36" s="39"/>
      <c r="C36" s="39"/>
      <c r="D36" s="170" t="s">
        <v>5</v>
      </c>
      <c r="E36" s="163">
        <f>AVERAGE(E32:E34)</f>
        <v>90.270101978558344</v>
      </c>
    </row>
    <row r="37" spans="1:5" ht="16" thickBot="1" x14ac:dyDescent="0.25">
      <c r="A37" s="21"/>
      <c r="B37" s="41"/>
      <c r="C37" s="41"/>
      <c r="D37" s="179" t="s">
        <v>4</v>
      </c>
      <c r="E37" s="165">
        <f>_xlfn.STDEV.S(E32:E34)</f>
        <v>8.5720528446251389</v>
      </c>
    </row>
    <row r="38" spans="1:5" x14ac:dyDescent="0.2">
      <c r="A38" s="22"/>
      <c r="B38" s="38"/>
      <c r="C38" s="38"/>
      <c r="D38" s="38"/>
      <c r="E38" s="45"/>
    </row>
    <row r="39" spans="1:5" x14ac:dyDescent="0.2">
      <c r="A39" s="19" t="s">
        <v>277</v>
      </c>
      <c r="B39" s="169">
        <f>'1 Samples'!M20</f>
        <v>15.1</v>
      </c>
      <c r="C39" s="39">
        <f>B39/$B$3</f>
        <v>0.86781609195402309</v>
      </c>
      <c r="D39" s="39">
        <f>'2 Raw data HPLC '!F53</f>
        <v>0.81059999999999999</v>
      </c>
      <c r="E39" s="47">
        <f>D39/C39*100</f>
        <v>93.406887417218528</v>
      </c>
    </row>
    <row r="40" spans="1:5" x14ac:dyDescent="0.2">
      <c r="A40" s="19" t="s">
        <v>278</v>
      </c>
      <c r="B40" s="169">
        <f>'1 Samples'!M21</f>
        <v>15.1</v>
      </c>
      <c r="C40" s="39">
        <f>B40/$B$3</f>
        <v>0.86781609195402309</v>
      </c>
      <c r="D40" s="39">
        <f>'2 Raw data HPLC '!F54</f>
        <v>0.85309999999999997</v>
      </c>
      <c r="E40" s="47">
        <f>D40/C40*100</f>
        <v>98.304238410596014</v>
      </c>
    </row>
    <row r="41" spans="1:5" x14ac:dyDescent="0.2">
      <c r="A41" s="19" t="s">
        <v>279</v>
      </c>
      <c r="B41" s="169">
        <f>'1 Samples'!M22</f>
        <v>15.2</v>
      </c>
      <c r="C41" s="39">
        <f>B41/$B$3</f>
        <v>0.87356321839080464</v>
      </c>
      <c r="D41" s="39">
        <f>'2 Raw data HPLC '!F55</f>
        <v>0.74609999999999999</v>
      </c>
      <c r="E41" s="47">
        <f>D41/C41*100</f>
        <v>85.408815789473678</v>
      </c>
    </row>
    <row r="42" spans="1:5" x14ac:dyDescent="0.2">
      <c r="A42" s="20"/>
      <c r="B42" s="39"/>
      <c r="C42" s="39"/>
      <c r="D42" s="39"/>
      <c r="E42" s="47"/>
    </row>
    <row r="43" spans="1:5" x14ac:dyDescent="0.2">
      <c r="A43" s="20"/>
      <c r="B43" s="39"/>
      <c r="C43" s="39"/>
      <c r="D43" s="170" t="s">
        <v>5</v>
      </c>
      <c r="E43" s="163">
        <f>AVERAGE(E39:E41)</f>
        <v>92.373313872429421</v>
      </c>
    </row>
    <row r="44" spans="1:5" ht="16" thickBot="1" x14ac:dyDescent="0.25">
      <c r="A44" s="21"/>
      <c r="B44" s="41"/>
      <c r="C44" s="41"/>
      <c r="D44" s="179" t="s">
        <v>4</v>
      </c>
      <c r="E44" s="165">
        <f>_xlfn.STDEV.S(E39:E41)</f>
        <v>6.5095458250713909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D108"/>
  <sheetViews>
    <sheetView topLeftCell="A82" workbookViewId="0">
      <selection activeCell="D36" sqref="D36"/>
    </sheetView>
  </sheetViews>
  <sheetFormatPr baseColWidth="10" defaultColWidth="8.83203125" defaultRowHeight="15" x14ac:dyDescent="0.2"/>
  <cols>
    <col min="1" max="1" width="33.83203125" style="11" bestFit="1" customWidth="1"/>
    <col min="2" max="2" width="21" style="11" bestFit="1" customWidth="1"/>
    <col min="3" max="3" width="29.5" style="11" bestFit="1" customWidth="1"/>
    <col min="4" max="4" width="26.33203125" style="11" bestFit="1" customWidth="1"/>
    <col min="5" max="5" width="5" style="11" bestFit="1" customWidth="1"/>
    <col min="6" max="6" width="26.33203125" style="11" bestFit="1" customWidth="1"/>
    <col min="7" max="16384" width="8.83203125" style="11"/>
  </cols>
  <sheetData>
    <row r="1" spans="1:4" x14ac:dyDescent="0.2">
      <c r="A1" s="190" t="s">
        <v>287</v>
      </c>
    </row>
    <row r="2" spans="1:4" x14ac:dyDescent="0.2">
      <c r="B2" s="10"/>
    </row>
    <row r="3" spans="1:4" x14ac:dyDescent="0.2">
      <c r="A3" s="10" t="s">
        <v>249</v>
      </c>
      <c r="B3" s="11">
        <f>'3 Sugar recovery standards'!E16</f>
        <v>87.229010923942496</v>
      </c>
    </row>
    <row r="4" spans="1:4" x14ac:dyDescent="0.2">
      <c r="A4" s="10" t="s">
        <v>250</v>
      </c>
      <c r="B4" s="11">
        <f>'3 Sugar recovery standards'!E17</f>
        <v>0.40249207981285229</v>
      </c>
    </row>
    <row r="5" spans="1:4" x14ac:dyDescent="0.2">
      <c r="A5" s="10" t="s">
        <v>283</v>
      </c>
      <c r="B5" s="11">
        <v>17.399999999999999</v>
      </c>
    </row>
    <row r="6" spans="1:4" x14ac:dyDescent="0.2">
      <c r="D6" s="29" t="s">
        <v>77</v>
      </c>
    </row>
    <row r="7" spans="1:4" ht="16" thickBot="1" x14ac:dyDescent="0.25"/>
    <row r="8" spans="1:4" x14ac:dyDescent="0.2">
      <c r="A8" s="1" t="s">
        <v>15</v>
      </c>
      <c r="B8" s="62" t="s">
        <v>75</v>
      </c>
      <c r="C8" s="38" t="s">
        <v>247</v>
      </c>
      <c r="D8" s="45" t="s">
        <v>248</v>
      </c>
    </row>
    <row r="9" spans="1:4" ht="16" thickBot="1" x14ac:dyDescent="0.25">
      <c r="A9" s="7"/>
      <c r="B9" s="42" t="s">
        <v>76</v>
      </c>
      <c r="C9" s="41" t="s">
        <v>76</v>
      </c>
      <c r="D9" s="63" t="s">
        <v>78</v>
      </c>
    </row>
    <row r="10" spans="1:4" x14ac:dyDescent="0.2">
      <c r="A10" s="1" t="s">
        <v>16</v>
      </c>
      <c r="B10" s="62">
        <f>'2 Raw data HPLC '!F17</f>
        <v>1.8637999999999999</v>
      </c>
      <c r="C10" s="38">
        <f t="shared" ref="C10:C41" si="0">B10/($B$3/100)</f>
        <v>2.1366744621523925</v>
      </c>
      <c r="D10" s="45">
        <f>C10*B5/'1 Samples'!M2</f>
        <v>0.61963559402419377</v>
      </c>
    </row>
    <row r="11" spans="1:4" x14ac:dyDescent="0.2">
      <c r="A11" s="4" t="s">
        <v>17</v>
      </c>
      <c r="B11" s="32">
        <f>'2 Raw data HPLC '!F18</f>
        <v>1.7157</v>
      </c>
      <c r="C11" s="39">
        <f t="shared" si="0"/>
        <v>1.9668914983983581</v>
      </c>
      <c r="D11" s="47">
        <f>C11*B5/'1 Samples'!O2</f>
        <v>0.5723062219419971</v>
      </c>
    </row>
    <row r="12" spans="1:4" x14ac:dyDescent="0.2">
      <c r="A12" s="4" t="s">
        <v>18</v>
      </c>
      <c r="B12" s="32">
        <f>'2 Raw data HPLC '!F19</f>
        <v>1.7030000000000001</v>
      </c>
      <c r="C12" s="39">
        <f t="shared" si="0"/>
        <v>1.9523321220332248</v>
      </c>
      <c r="D12" s="47">
        <f>C12*B5/'1 Samples'!Q2</f>
        <v>0.56523425829248097</v>
      </c>
    </row>
    <row r="13" spans="1:4" x14ac:dyDescent="0.2">
      <c r="A13" s="4" t="s">
        <v>19</v>
      </c>
      <c r="B13" s="32">
        <f>'2 Raw data HPLC '!F20</f>
        <v>1.8293999999999999</v>
      </c>
      <c r="C13" s="39">
        <f t="shared" si="0"/>
        <v>2.0972380411318738</v>
      </c>
      <c r="D13" s="47">
        <f>C13*B5/'1 Samples'!M3</f>
        <v>0.60819903192824343</v>
      </c>
    </row>
    <row r="14" spans="1:4" x14ac:dyDescent="0.2">
      <c r="A14" s="4" t="s">
        <v>20</v>
      </c>
      <c r="B14" s="32">
        <f>'2 Raw data HPLC '!F21</f>
        <v>1.7282</v>
      </c>
      <c r="C14" s="39">
        <f t="shared" si="0"/>
        <v>1.9812215932459301</v>
      </c>
      <c r="D14" s="47">
        <f>C14*B5/'1 Samples'!O3</f>
        <v>0.57359826493309785</v>
      </c>
    </row>
    <row r="15" spans="1:4" x14ac:dyDescent="0.2">
      <c r="A15" s="4" t="s">
        <v>21</v>
      </c>
      <c r="B15" s="32">
        <f>'2 Raw data HPLC '!F22</f>
        <v>1.8557999999999999</v>
      </c>
      <c r="C15" s="39">
        <f t="shared" si="0"/>
        <v>2.127503201449946</v>
      </c>
      <c r="D15" s="47">
        <f>C15*B5/'1 Samples'!Q3</f>
        <v>0.61800593831768036</v>
      </c>
    </row>
    <row r="16" spans="1:4" x14ac:dyDescent="0.2">
      <c r="A16" s="4" t="s">
        <v>22</v>
      </c>
      <c r="B16" s="32">
        <f>'2 Raw data HPLC '!F23</f>
        <v>1.5374000000000001</v>
      </c>
      <c r="C16" s="39">
        <f t="shared" si="0"/>
        <v>1.7624870254925895</v>
      </c>
      <c r="D16" s="47">
        <f>C16*B5/'1 Samples'!M4</f>
        <v>0.51112123739285087</v>
      </c>
    </row>
    <row r="17" spans="1:4" x14ac:dyDescent="0.2">
      <c r="A17" s="4" t="s">
        <v>23</v>
      </c>
      <c r="B17" s="32">
        <f>'2 Raw data HPLC '!F24</f>
        <v>1.7000999999999999</v>
      </c>
      <c r="C17" s="39">
        <f t="shared" si="0"/>
        <v>1.949007540028588</v>
      </c>
      <c r="D17" s="47">
        <f>C17*B5/'1 Samples'!O4</f>
        <v>0.56333440525743228</v>
      </c>
    </row>
    <row r="18" spans="1:4" ht="16" thickBot="1" x14ac:dyDescent="0.25">
      <c r="A18" s="7" t="s">
        <v>24</v>
      </c>
      <c r="B18" s="42">
        <f>'2 Raw data HPLC '!F25</f>
        <v>1.8299000000000001</v>
      </c>
      <c r="C18" s="41">
        <f t="shared" si="0"/>
        <v>2.0978112449257771</v>
      </c>
      <c r="D18" s="63">
        <f>C18*B5/'1 Samples'!Q4</f>
        <v>0.60634411398186905</v>
      </c>
    </row>
    <row r="19" spans="1:4" x14ac:dyDescent="0.2">
      <c r="A19" s="1" t="s">
        <v>25</v>
      </c>
      <c r="B19" s="32">
        <f>'2 Raw data HPLC '!F26</f>
        <v>1.0001</v>
      </c>
      <c r="C19" s="39">
        <f t="shared" si="0"/>
        <v>1.1465222285645498</v>
      </c>
      <c r="D19" s="47">
        <f>C19*B5/'1 Samples'!M7</f>
        <v>0.33249144628371941</v>
      </c>
    </row>
    <row r="20" spans="1:4" x14ac:dyDescent="0.2">
      <c r="A20" s="4" t="s">
        <v>26</v>
      </c>
      <c r="B20" s="32">
        <f>'2 Raw data HPLC '!F27</f>
        <v>1.0324</v>
      </c>
      <c r="C20" s="39">
        <f t="shared" si="0"/>
        <v>1.183551193650676</v>
      </c>
      <c r="D20" s="47">
        <f>C20*B5/'1 Samples'!O7</f>
        <v>0.34039323585986381</v>
      </c>
    </row>
    <row r="21" spans="1:4" x14ac:dyDescent="0.2">
      <c r="A21" s="4" t="s">
        <v>27</v>
      </c>
      <c r="B21" s="32">
        <f>'2 Raw data HPLC '!F28</f>
        <v>1.0367999999999999</v>
      </c>
      <c r="C21" s="39">
        <f t="shared" si="0"/>
        <v>1.1885953870370214</v>
      </c>
      <c r="D21" s="47">
        <f>C21*B5/'1 Samples'!Q7</f>
        <v>0.34297777337386687</v>
      </c>
    </row>
    <row r="22" spans="1:4" x14ac:dyDescent="0.2">
      <c r="A22" s="4" t="s">
        <v>28</v>
      </c>
      <c r="B22" s="32">
        <f>'2 Raw data HPLC '!F29</f>
        <v>0.98939999999999995</v>
      </c>
      <c r="C22" s="39">
        <f t="shared" si="0"/>
        <v>1.1342556673750279</v>
      </c>
      <c r="D22" s="47">
        <f>C22*B5/'1 Samples'!M8</f>
        <v>0.3294832823426625</v>
      </c>
    </row>
    <row r="23" spans="1:4" x14ac:dyDescent="0.2">
      <c r="A23" s="4" t="s">
        <v>29</v>
      </c>
      <c r="B23" s="32">
        <f>'2 Raw data HPLC '!F30</f>
        <v>0.93789999999999996</v>
      </c>
      <c r="C23" s="39">
        <f t="shared" si="0"/>
        <v>1.0752156766030307</v>
      </c>
      <c r="D23" s="47">
        <f>C23*B5/'1 Samples'!O8</f>
        <v>0.31181254621487892</v>
      </c>
    </row>
    <row r="24" spans="1:4" x14ac:dyDescent="0.2">
      <c r="A24" s="4" t="s">
        <v>30</v>
      </c>
      <c r="B24" s="32">
        <f>'2 Raw data HPLC '!F31</f>
        <v>1.0189999999999999</v>
      </c>
      <c r="C24" s="39">
        <f t="shared" si="0"/>
        <v>1.1681893319740786</v>
      </c>
      <c r="D24" s="47">
        <f>C24*B5/'1 Samples'!Q8</f>
        <v>0.33877490627248275</v>
      </c>
    </row>
    <row r="25" spans="1:4" x14ac:dyDescent="0.2">
      <c r="A25" s="4" t="s">
        <v>31</v>
      </c>
      <c r="B25" s="32">
        <f>'2 Raw data HPLC '!F32</f>
        <v>1.0119</v>
      </c>
      <c r="C25" s="39">
        <f t="shared" si="0"/>
        <v>1.1600498381006579</v>
      </c>
      <c r="D25" s="47">
        <f>C25*B5/'1 Samples'!M9</f>
        <v>0.33585469522381772</v>
      </c>
    </row>
    <row r="26" spans="1:4" x14ac:dyDescent="0.2">
      <c r="A26" s="4" t="s">
        <v>32</v>
      </c>
      <c r="B26" s="32">
        <f>'2 Raw data HPLC '!F33</f>
        <v>1.0016</v>
      </c>
      <c r="C26" s="39">
        <f t="shared" si="0"/>
        <v>1.1482418399462584</v>
      </c>
      <c r="D26" s="47">
        <f>C26*B5/'1 Samples'!O9</f>
        <v>0.33299013358441493</v>
      </c>
    </row>
    <row r="27" spans="1:4" ht="16" thickBot="1" x14ac:dyDescent="0.25">
      <c r="A27" s="7" t="s">
        <v>33</v>
      </c>
      <c r="B27" s="32">
        <f>'2 Raw data HPLC '!F34</f>
        <v>0.98419999999999996</v>
      </c>
      <c r="C27" s="39">
        <f t="shared" si="0"/>
        <v>1.128294347918438</v>
      </c>
      <c r="D27" s="47">
        <f>C27*B5/'1 Samples'!Q9</f>
        <v>0.327205360896347</v>
      </c>
    </row>
    <row r="28" spans="1:4" x14ac:dyDescent="0.2">
      <c r="A28" s="1" t="s">
        <v>34</v>
      </c>
      <c r="B28" s="62">
        <f>'2 Raw data HPLC '!F35</f>
        <v>1.0621</v>
      </c>
      <c r="C28" s="38">
        <f t="shared" si="0"/>
        <v>1.2175994990085075</v>
      </c>
      <c r="D28" s="45">
        <f>C28*B5/'1 Samples'!M15</f>
        <v>0.3525163274999672</v>
      </c>
    </row>
    <row r="29" spans="1:4" x14ac:dyDescent="0.2">
      <c r="A29" s="4" t="s">
        <v>35</v>
      </c>
      <c r="B29" s="32">
        <f>'2 Raw data HPLC '!F36</f>
        <v>1.1601999999999999</v>
      </c>
      <c r="C29" s="39">
        <f t="shared" si="0"/>
        <v>1.3300620833722532</v>
      </c>
      <c r="D29" s="47">
        <f>C29*B5/'1 Samples'!O15</f>
        <v>0.38700803094777936</v>
      </c>
    </row>
    <row r="30" spans="1:4" x14ac:dyDescent="0.2">
      <c r="A30" s="4" t="s">
        <v>36</v>
      </c>
      <c r="B30" s="32">
        <f>'2 Raw data HPLC '!F37</f>
        <v>1.1054999999999999</v>
      </c>
      <c r="C30" s="39">
        <f t="shared" si="0"/>
        <v>1.2673535883192777</v>
      </c>
      <c r="D30" s="47">
        <f>C30*B5/'1 Samples'!Q15</f>
        <v>0.36509855027740779</v>
      </c>
    </row>
    <row r="31" spans="1:4" x14ac:dyDescent="0.2">
      <c r="A31" s="4" t="s">
        <v>37</v>
      </c>
      <c r="B31" s="32">
        <f>'2 Raw data HPLC '!F38</f>
        <v>1.1500999999999999</v>
      </c>
      <c r="C31" s="39">
        <f t="shared" si="0"/>
        <v>1.318483366735415</v>
      </c>
      <c r="D31" s="47">
        <f>C31*B5/'1 Samples'!M16</f>
        <v>0.3823601763532703</v>
      </c>
    </row>
    <row r="32" spans="1:4" x14ac:dyDescent="0.2">
      <c r="A32" s="4" t="s">
        <v>38</v>
      </c>
      <c r="B32" s="32">
        <f>'2 Raw data HPLC '!F39</f>
        <v>1.1621999999999999</v>
      </c>
      <c r="C32" s="39">
        <f t="shared" si="0"/>
        <v>1.3323548985478648</v>
      </c>
      <c r="D32" s="47">
        <f>C32*B5/'1 Samples'!O16</f>
        <v>0.3863829205788808</v>
      </c>
    </row>
    <row r="33" spans="1:4" x14ac:dyDescent="0.2">
      <c r="A33" s="4" t="s">
        <v>39</v>
      </c>
      <c r="B33" s="32">
        <f>'2 Raw data HPLC '!F40</f>
        <v>1.1531</v>
      </c>
      <c r="C33" s="39">
        <f t="shared" si="0"/>
        <v>1.3219225894988325</v>
      </c>
      <c r="D33" s="47">
        <f>C33*B5/'1 Samples'!Q16</f>
        <v>0.3833575509546614</v>
      </c>
    </row>
    <row r="34" spans="1:4" x14ac:dyDescent="0.2">
      <c r="A34" s="4" t="s">
        <v>40</v>
      </c>
      <c r="B34" s="32">
        <f>'2 Raw data HPLC '!F41</f>
        <v>1.0813999999999999</v>
      </c>
      <c r="C34" s="39">
        <f t="shared" si="0"/>
        <v>1.2397251654531587</v>
      </c>
      <c r="D34" s="47">
        <f>C34*B5/'1 Samples'!M17</f>
        <v>0.36012049881277058</v>
      </c>
    </row>
    <row r="35" spans="1:4" x14ac:dyDescent="0.2">
      <c r="A35" s="4" t="s">
        <v>41</v>
      </c>
      <c r="B35" s="32">
        <f>'2 Raw data HPLC '!F42</f>
        <v>1.0646</v>
      </c>
      <c r="C35" s="39">
        <f t="shared" si="0"/>
        <v>1.2204655179780217</v>
      </c>
      <c r="D35" s="47">
        <f>C35*B5/'1 Samples'!O17</f>
        <v>0.35511872931133071</v>
      </c>
    </row>
    <row r="36" spans="1:4" ht="16" thickBot="1" x14ac:dyDescent="0.25">
      <c r="A36" s="7" t="s">
        <v>42</v>
      </c>
      <c r="B36" s="42">
        <f>'2 Raw data HPLC '!F43</f>
        <v>1.0762</v>
      </c>
      <c r="C36" s="41">
        <f t="shared" si="0"/>
        <v>1.2337638459965687</v>
      </c>
      <c r="D36" s="63">
        <f>C36*B5/'1 Samples'!Q17</f>
        <v>0.35779151533900488</v>
      </c>
    </row>
    <row r="37" spans="1:4" x14ac:dyDescent="0.2">
      <c r="A37" s="1" t="s">
        <v>43</v>
      </c>
      <c r="B37" s="32">
        <f>'2 Raw data HPLC '!F44</f>
        <v>1.1012999999999999</v>
      </c>
      <c r="C37" s="39">
        <f t="shared" si="0"/>
        <v>1.2625386764504936</v>
      </c>
      <c r="D37" s="47">
        <f>C37*B5/'1 Samples'!M11</f>
        <v>0.36674746194054403</v>
      </c>
    </row>
    <row r="38" spans="1:4" x14ac:dyDescent="0.2">
      <c r="A38" s="4" t="s">
        <v>44</v>
      </c>
      <c r="B38" s="32">
        <f>'2 Raw data HPLC '!F45</f>
        <v>1.0245</v>
      </c>
      <c r="C38" s="39">
        <f t="shared" si="0"/>
        <v>1.1744945737070105</v>
      </c>
      <c r="D38" s="47">
        <f>C38*B5/'1 Samples'!O11</f>
        <v>0.3394718535299332</v>
      </c>
    </row>
    <row r="39" spans="1:4" x14ac:dyDescent="0.2">
      <c r="A39" s="4" t="s">
        <v>45</v>
      </c>
      <c r="B39" s="32">
        <f>'2 Raw data HPLC '!F46</f>
        <v>1.1081000000000001</v>
      </c>
      <c r="C39" s="39">
        <f t="shared" si="0"/>
        <v>1.2703342480475728</v>
      </c>
      <c r="D39" s="47">
        <f>C39*B5/'1 Samples'!Q11</f>
        <v>0.36778395866934716</v>
      </c>
    </row>
    <row r="40" spans="1:4" x14ac:dyDescent="0.2">
      <c r="A40" s="4" t="s">
        <v>46</v>
      </c>
      <c r="B40" s="32">
        <f>'2 Raw data HPLC '!F47</f>
        <v>1.1022000000000001</v>
      </c>
      <c r="C40" s="39">
        <f t="shared" si="0"/>
        <v>1.2635704432795187</v>
      </c>
      <c r="D40" s="47">
        <f>C40*B5/'1 Samples'!M12</f>
        <v>0.36582571901936151</v>
      </c>
    </row>
    <row r="41" spans="1:4" x14ac:dyDescent="0.2">
      <c r="A41" s="4" t="s">
        <v>47</v>
      </c>
      <c r="B41" s="32">
        <f>'2 Raw data HPLC '!F48</f>
        <v>1.1062000000000001</v>
      </c>
      <c r="C41" s="39">
        <f t="shared" si="0"/>
        <v>1.2681560736307418</v>
      </c>
      <c r="D41" s="47">
        <f>C41*B5/'1 Samples'!O12</f>
        <v>0.36899524550459706</v>
      </c>
    </row>
    <row r="42" spans="1:4" x14ac:dyDescent="0.2">
      <c r="A42" s="27" t="s">
        <v>284</v>
      </c>
      <c r="B42" s="181">
        <f>'2 Raw data HPLC '!F49</f>
        <v>0.73499999999999999</v>
      </c>
      <c r="C42" s="182">
        <f t="shared" ref="C42:C73" si="1">B42/($B$3/100)</f>
        <v>0.84260957703724026</v>
      </c>
      <c r="D42" s="183">
        <f>C42*B5/'1 Samples'!Q12</f>
        <v>0.24354496080478369</v>
      </c>
    </row>
    <row r="43" spans="1:4" x14ac:dyDescent="0.2">
      <c r="A43" s="27" t="s">
        <v>285</v>
      </c>
      <c r="B43" s="181">
        <f>'2 Raw data HPLC '!F50</f>
        <v>0.11020000000000001</v>
      </c>
      <c r="C43" s="182">
        <f t="shared" si="1"/>
        <v>0.12633411617619578</v>
      </c>
      <c r="D43" s="183">
        <f>C43*B5/'1 Samples'!M13</f>
        <v>3.6515176436309076E-2</v>
      </c>
    </row>
    <row r="44" spans="1:4" x14ac:dyDescent="0.2">
      <c r="A44" s="4" t="s">
        <v>50</v>
      </c>
      <c r="B44" s="32">
        <f>'2 Raw data HPLC '!F51</f>
        <v>1.0549999999999999</v>
      </c>
      <c r="C44" s="39">
        <f t="shared" si="1"/>
        <v>1.2094600051350863</v>
      </c>
      <c r="D44" s="47">
        <f>C44*B5/'1 Samples'!O13</f>
        <v>0.35074340148917499</v>
      </c>
    </row>
    <row r="45" spans="1:4" ht="16" thickBot="1" x14ac:dyDescent="0.25">
      <c r="A45" s="7" t="s">
        <v>51</v>
      </c>
      <c r="B45" s="32">
        <f>'2 Raw data HPLC '!F52</f>
        <v>0.94840000000000002</v>
      </c>
      <c r="C45" s="39">
        <f t="shared" si="1"/>
        <v>1.0872529562749915</v>
      </c>
      <c r="D45" s="47">
        <f>C45*B5/'1 Samples'!Q13</f>
        <v>0.31425583786021349</v>
      </c>
    </row>
    <row r="46" spans="1:4" x14ac:dyDescent="0.2">
      <c r="A46" s="1" t="s">
        <v>52</v>
      </c>
      <c r="B46" s="62">
        <f>'2 Raw data HPLC '!F56</f>
        <v>0.96430000000000005</v>
      </c>
      <c r="C46" s="38">
        <f t="shared" si="1"/>
        <v>1.1054808369211031</v>
      </c>
      <c r="D46" s="45">
        <f>C46*B5/'1 Samples'!M33</f>
        <v>0.32058944270711986</v>
      </c>
    </row>
    <row r="47" spans="1:4" x14ac:dyDescent="0.2">
      <c r="A47" s="4" t="s">
        <v>35</v>
      </c>
      <c r="B47" s="32">
        <f>'2 Raw data HPLC '!F57</f>
        <v>0.99809999999999999</v>
      </c>
      <c r="C47" s="39">
        <f t="shared" si="1"/>
        <v>1.1442294133889381</v>
      </c>
      <c r="D47" s="47">
        <f>C47*B5/'1 Samples'!O33</f>
        <v>0.33127440587300366</v>
      </c>
    </row>
    <row r="48" spans="1:4" x14ac:dyDescent="0.2">
      <c r="A48" s="4" t="s">
        <v>36</v>
      </c>
      <c r="B48" s="32">
        <f>'2 Raw data HPLC '!F58</f>
        <v>0.9889</v>
      </c>
      <c r="C48" s="39">
        <f t="shared" si="1"/>
        <v>1.1336824635811251</v>
      </c>
      <c r="D48" s="47">
        <f>C48*B5/'1 Samples'!Q33</f>
        <v>0.32822087963912766</v>
      </c>
    </row>
    <row r="49" spans="1:4" x14ac:dyDescent="0.2">
      <c r="A49" s="27" t="s">
        <v>286</v>
      </c>
      <c r="B49" s="181">
        <f>'2 Raw data HPLC '!F59</f>
        <v>0.70050000000000001</v>
      </c>
      <c r="C49" s="182">
        <f t="shared" si="1"/>
        <v>0.80305851525794125</v>
      </c>
      <c r="D49" s="183">
        <f>C49*B5/'1 Samples'!M34</f>
        <v>0.23288696942480294</v>
      </c>
    </row>
    <row r="50" spans="1:4" x14ac:dyDescent="0.2">
      <c r="A50" s="4" t="s">
        <v>38</v>
      </c>
      <c r="B50" s="32">
        <f>'2 Raw data HPLC '!F60</f>
        <v>0.98029999999999995</v>
      </c>
      <c r="C50" s="39">
        <f t="shared" si="1"/>
        <v>1.1238233583259953</v>
      </c>
      <c r="D50" s="47">
        <f>C50*B5/'1 Samples'!O34</f>
        <v>0.32590877391453865</v>
      </c>
    </row>
    <row r="51" spans="1:4" x14ac:dyDescent="0.2">
      <c r="A51" s="4" t="s">
        <v>39</v>
      </c>
      <c r="B51" s="32">
        <f>'2 Raw data HPLC '!F61</f>
        <v>0.99309999999999998</v>
      </c>
      <c r="C51" s="39">
        <f t="shared" si="1"/>
        <v>1.1384973754499093</v>
      </c>
      <c r="D51" s="47">
        <f>C51*B5/'1 Samples'!Q34</f>
        <v>0.32906734772140228</v>
      </c>
    </row>
    <row r="52" spans="1:4" x14ac:dyDescent="0.2">
      <c r="A52" s="4" t="s">
        <v>40</v>
      </c>
      <c r="B52" s="32">
        <f>'2 Raw data HPLC '!F62</f>
        <v>0.97829999999999995</v>
      </c>
      <c r="C52" s="39">
        <f t="shared" si="1"/>
        <v>1.1215305431503839</v>
      </c>
      <c r="D52" s="47">
        <f>C52*B5/'1 Samples'!M35</f>
        <v>0.32524385751361135</v>
      </c>
    </row>
    <row r="53" spans="1:4" x14ac:dyDescent="0.2">
      <c r="A53" s="4" t="s">
        <v>41</v>
      </c>
      <c r="B53" s="32">
        <f>'2 Raw data HPLC '!F63</f>
        <v>0.99850000000000005</v>
      </c>
      <c r="C53" s="39">
        <f t="shared" si="1"/>
        <v>1.1446879764240605</v>
      </c>
      <c r="D53" s="47">
        <f>C53*B5/'1 Samples'!O35</f>
        <v>0.33085665763751909</v>
      </c>
    </row>
    <row r="54" spans="1:4" ht="16" thickBot="1" x14ac:dyDescent="0.25">
      <c r="A54" s="7" t="s">
        <v>42</v>
      </c>
      <c r="B54" s="42">
        <f>'2 Raw data HPLC '!F64</f>
        <v>0.93679999999999997</v>
      </c>
      <c r="C54" s="41">
        <f t="shared" si="1"/>
        <v>1.0739546282564445</v>
      </c>
      <c r="D54" s="63">
        <f>C54*B5/'1 Samples'!Q35</f>
        <v>0.31196678683910073</v>
      </c>
    </row>
    <row r="55" spans="1:4" x14ac:dyDescent="0.2">
      <c r="A55" s="1" t="s">
        <v>43</v>
      </c>
      <c r="B55" s="32">
        <f>'2 Raw data HPLC '!F65</f>
        <v>1.1186</v>
      </c>
      <c r="C55" s="39">
        <f t="shared" si="1"/>
        <v>1.2823715277195333</v>
      </c>
      <c r="D55" s="47">
        <f>C55*B5/'1 Samples'!M25</f>
        <v>0.37188774303866462</v>
      </c>
    </row>
    <row r="56" spans="1:4" x14ac:dyDescent="0.2">
      <c r="A56" s="4" t="s">
        <v>44</v>
      </c>
      <c r="B56" s="32">
        <f>'2 Raw data HPLC '!F66</f>
        <v>1.1462000000000001</v>
      </c>
      <c r="C56" s="39">
        <f t="shared" si="1"/>
        <v>1.3140123771429726</v>
      </c>
      <c r="D56" s="47">
        <f>C56*B5/'1 Samples'!O25</f>
        <v>0.38042954013789881</v>
      </c>
    </row>
    <row r="57" spans="1:4" x14ac:dyDescent="0.2">
      <c r="A57" s="4" t="s">
        <v>45</v>
      </c>
      <c r="B57" s="32">
        <f>'2 Raw data HPLC '!F67</f>
        <v>1.1674</v>
      </c>
      <c r="C57" s="39">
        <f t="shared" si="1"/>
        <v>1.3383162180044548</v>
      </c>
      <c r="D57" s="47">
        <f>C57*B5/'1 Samples'!Q25</f>
        <v>0.38811170322129185</v>
      </c>
    </row>
    <row r="58" spans="1:4" x14ac:dyDescent="0.2">
      <c r="A58" s="4" t="s">
        <v>46</v>
      </c>
      <c r="B58" s="32">
        <f>'2 Raw data HPLC '!F68</f>
        <v>1.1607000000000001</v>
      </c>
      <c r="C58" s="39">
        <f t="shared" si="1"/>
        <v>1.3306352871661562</v>
      </c>
      <c r="D58" s="47">
        <f>C58*B5/'1 Samples'!M26</f>
        <v>0.38588423327818527</v>
      </c>
    </row>
    <row r="59" spans="1:4" x14ac:dyDescent="0.2">
      <c r="A59" s="4" t="s">
        <v>47</v>
      </c>
      <c r="B59" s="32">
        <f>'2 Raw data HPLC '!F69</f>
        <v>1.1734</v>
      </c>
      <c r="C59" s="39">
        <f t="shared" si="1"/>
        <v>1.3451946635312895</v>
      </c>
      <c r="D59" s="47">
        <f>C59*B5/'1 Samples'!O26</f>
        <v>0.39010645242407388</v>
      </c>
    </row>
    <row r="60" spans="1:4" x14ac:dyDescent="0.2">
      <c r="A60" s="4" t="s">
        <v>48</v>
      </c>
      <c r="B60" s="32">
        <f>'2 Raw data HPLC '!F70</f>
        <v>1.1726000000000001</v>
      </c>
      <c r="C60" s="39">
        <f t="shared" si="1"/>
        <v>1.3442775374610449</v>
      </c>
      <c r="D60" s="47">
        <f>C60*B5/'1 Samples'!Q26</f>
        <v>0.38984048586370296</v>
      </c>
    </row>
    <row r="61" spans="1:4" x14ac:dyDescent="0.2">
      <c r="A61" s="4" t="s">
        <v>49</v>
      </c>
      <c r="B61" s="32">
        <f>'2 Raw data HPLC '!F71</f>
        <v>1.1473</v>
      </c>
      <c r="C61" s="39">
        <f t="shared" si="1"/>
        <v>1.3152734254895588</v>
      </c>
      <c r="D61" s="47">
        <f>C61*B5/'1 Samples'!M27</f>
        <v>0.38079463566586225</v>
      </c>
    </row>
    <row r="62" spans="1:4" x14ac:dyDescent="0.2">
      <c r="A62" s="4" t="s">
        <v>50</v>
      </c>
      <c r="B62" s="32">
        <f>'2 Raw data HPLC '!F72</f>
        <v>1.0734999999999999</v>
      </c>
      <c r="C62" s="39">
        <f t="shared" si="1"/>
        <v>1.230668545509493</v>
      </c>
      <c r="D62" s="47">
        <f>C62*B5/'1 Samples'!O27</f>
        <v>0.35689387819775298</v>
      </c>
    </row>
    <row r="63" spans="1:4" ht="16" thickBot="1" x14ac:dyDescent="0.25">
      <c r="A63" s="7" t="s">
        <v>51</v>
      </c>
      <c r="B63" s="32">
        <f>'2 Raw data HPLC '!F73</f>
        <v>1.1554</v>
      </c>
      <c r="C63" s="39">
        <f t="shared" si="1"/>
        <v>1.3245593269507856</v>
      </c>
      <c r="D63" s="47">
        <f>C63*B5/'1 Samples'!Q27</f>
        <v>0.38412220481572779</v>
      </c>
    </row>
    <row r="64" spans="1:4" x14ac:dyDescent="0.2">
      <c r="A64" s="1" t="s">
        <v>53</v>
      </c>
      <c r="B64" s="62">
        <f>'2 Raw data HPLC '!F74</f>
        <v>1.0527</v>
      </c>
      <c r="C64" s="38">
        <f t="shared" si="1"/>
        <v>1.2068232676831332</v>
      </c>
      <c r="D64" s="45">
        <f>C64*B5/'1 Samples'!M29</f>
        <v>0.3499787476281086</v>
      </c>
    </row>
    <row r="65" spans="1:4" x14ac:dyDescent="0.2">
      <c r="A65" s="4" t="s">
        <v>54</v>
      </c>
      <c r="B65" s="32">
        <f>'2 Raw data HPLC '!F75</f>
        <v>1.044</v>
      </c>
      <c r="C65" s="39">
        <f t="shared" si="1"/>
        <v>1.196849521669223</v>
      </c>
      <c r="D65" s="47">
        <f>C65*B5/'1 Samples'!O29</f>
        <v>0.3465088465398416</v>
      </c>
    </row>
    <row r="66" spans="1:4" x14ac:dyDescent="0.2">
      <c r="A66" s="4" t="s">
        <v>55</v>
      </c>
      <c r="B66" s="32">
        <f>'2 Raw data HPLC '!F76</f>
        <v>1.0251999999999999</v>
      </c>
      <c r="C66" s="39">
        <f t="shared" si="1"/>
        <v>1.1752970590184744</v>
      </c>
      <c r="D66" s="47">
        <f>C66*B5/'1 Samples'!Q29</f>
        <v>0.34083614711535754</v>
      </c>
    </row>
    <row r="67" spans="1:4" x14ac:dyDescent="0.2">
      <c r="A67" s="4" t="s">
        <v>56</v>
      </c>
      <c r="B67" s="32">
        <f>'2 Raw data HPLC '!F77</f>
        <v>1.1364000000000001</v>
      </c>
      <c r="C67" s="39">
        <f t="shared" si="1"/>
        <v>1.3027775827824761</v>
      </c>
      <c r="D67" s="47">
        <f>C67*B5/'1 Samples'!M30</f>
        <v>0.37780549900691807</v>
      </c>
    </row>
    <row r="68" spans="1:4" x14ac:dyDescent="0.2">
      <c r="A68" s="4" t="s">
        <v>57</v>
      </c>
      <c r="B68" s="32">
        <f>'2 Raw data HPLC '!F78</f>
        <v>1.0097</v>
      </c>
      <c r="C68" s="39">
        <f t="shared" si="1"/>
        <v>1.1575277414074852</v>
      </c>
      <c r="D68" s="47">
        <f>C68*B5/'1 Samples'!O30</f>
        <v>0.3356830450081707</v>
      </c>
    </row>
    <row r="69" spans="1:4" x14ac:dyDescent="0.2">
      <c r="A69" s="4" t="s">
        <v>58</v>
      </c>
      <c r="B69" s="32">
        <f>'2 Raw data HPLC '!F79</f>
        <v>1.1294999999999999</v>
      </c>
      <c r="C69" s="39">
        <f t="shared" si="1"/>
        <v>1.2948673704266163</v>
      </c>
      <c r="D69" s="47">
        <f>C69*B5/'1 Samples'!Q30</f>
        <v>0.37488672621336311</v>
      </c>
    </row>
    <row r="70" spans="1:4" x14ac:dyDescent="0.2">
      <c r="A70" s="4" t="s">
        <v>59</v>
      </c>
      <c r="B70" s="32">
        <f>'2 Raw data HPLC '!F80</f>
        <v>1.0391999999999999</v>
      </c>
      <c r="C70" s="39">
        <f t="shared" si="1"/>
        <v>1.1913467652477552</v>
      </c>
      <c r="D70" s="47">
        <f>C70*B5/'1 Samples'!M31</f>
        <v>0.34491570241781927</v>
      </c>
    </row>
    <row r="71" spans="1:4" x14ac:dyDescent="0.2">
      <c r="A71" s="4" t="s">
        <v>60</v>
      </c>
      <c r="B71" s="32">
        <f>'2 Raw data HPLC '!F81</f>
        <v>1.0405</v>
      </c>
      <c r="C71" s="39">
        <f t="shared" si="1"/>
        <v>1.1928370951119027</v>
      </c>
      <c r="D71" s="47">
        <f>C71*B5/'1 Samples'!O31</f>
        <v>0.34592275758245178</v>
      </c>
    </row>
    <row r="72" spans="1:4" ht="16" thickBot="1" x14ac:dyDescent="0.25">
      <c r="A72" s="7" t="s">
        <v>61</v>
      </c>
      <c r="B72" s="42">
        <f>'2 Raw data HPLC '!F82</f>
        <v>1.0143</v>
      </c>
      <c r="C72" s="41">
        <f t="shared" si="1"/>
        <v>1.1628012163113917</v>
      </c>
      <c r="D72" s="63">
        <f>C72*B5/'1 Samples'!Q31</f>
        <v>0.33721235273030359</v>
      </c>
    </row>
    <row r="73" spans="1:4" x14ac:dyDescent="0.2">
      <c r="A73" s="1" t="s">
        <v>62</v>
      </c>
      <c r="B73" s="32">
        <f>'2 Raw data HPLC '!F86</f>
        <v>1.0956999999999999</v>
      </c>
      <c r="C73" s="39">
        <f t="shared" si="1"/>
        <v>1.256118793958781</v>
      </c>
      <c r="D73" s="47">
        <f>C73*B5/'1 Samples'!M43</f>
        <v>0.3642744502480465</v>
      </c>
    </row>
    <row r="74" spans="1:4" x14ac:dyDescent="0.2">
      <c r="A74" s="4" t="s">
        <v>63</v>
      </c>
      <c r="B74" s="32">
        <f>'2 Raw data HPLC '!F87</f>
        <v>1.0693999999999999</v>
      </c>
      <c r="C74" s="39">
        <f t="shared" ref="C74:C105" si="2">B74/($B$3/100)</f>
        <v>1.2259682743994893</v>
      </c>
      <c r="D74" s="47">
        <f>C74*B5/'1 Samples'!O43</f>
        <v>0.35553079957585187</v>
      </c>
    </row>
    <row r="75" spans="1:4" x14ac:dyDescent="0.2">
      <c r="A75" s="4" t="s">
        <v>64</v>
      </c>
      <c r="B75" s="32">
        <f>'2 Raw data HPLC '!F88</f>
        <v>1.0817000000000001</v>
      </c>
      <c r="C75" s="39">
        <f t="shared" si="2"/>
        <v>1.2400690877295006</v>
      </c>
      <c r="D75" s="47">
        <f>C75*B5/'1 Samples'!Q43</f>
        <v>0.35962003544155513</v>
      </c>
    </row>
    <row r="76" spans="1:4" x14ac:dyDescent="0.2">
      <c r="A76" s="4" t="s">
        <v>65</v>
      </c>
      <c r="B76" s="32">
        <f>'2 Raw data HPLC '!F89</f>
        <v>1.0748</v>
      </c>
      <c r="C76" s="39">
        <f t="shared" si="2"/>
        <v>1.2321588753736405</v>
      </c>
      <c r="D76" s="47">
        <f>C76*B5/'1 Samples'!M44</f>
        <v>0.35732607385835569</v>
      </c>
    </row>
    <row r="77" spans="1:4" x14ac:dyDescent="0.2">
      <c r="A77" s="4" t="s">
        <v>66</v>
      </c>
      <c r="B77" s="32">
        <f>'2 Raw data HPLC '!F90</f>
        <v>1.0782</v>
      </c>
      <c r="C77" s="39">
        <f t="shared" si="2"/>
        <v>1.2360566611721804</v>
      </c>
      <c r="D77" s="47">
        <f>C77*B5/'1 Samples'!O44</f>
        <v>0.35845643173993225</v>
      </c>
    </row>
    <row r="78" spans="1:4" x14ac:dyDescent="0.2">
      <c r="A78" s="4" t="s">
        <v>67</v>
      </c>
      <c r="B78" s="32">
        <f>'2 Raw data HPLC '!F91</f>
        <v>1.0683</v>
      </c>
      <c r="C78" s="39">
        <f t="shared" si="2"/>
        <v>1.2247072260529033</v>
      </c>
      <c r="D78" s="47">
        <f>C78*B5/'1 Samples'!Q44</f>
        <v>0.35516509555534193</v>
      </c>
    </row>
    <row r="79" spans="1:4" x14ac:dyDescent="0.2">
      <c r="A79" s="4" t="s">
        <v>68</v>
      </c>
      <c r="B79" s="32">
        <f>'2 Raw data HPLC '!F92</f>
        <v>1.0680000000000001</v>
      </c>
      <c r="C79" s="39">
        <f t="shared" si="2"/>
        <v>1.2243633037765616</v>
      </c>
      <c r="D79" s="47">
        <f>C79*B5/'1 Samples'!M45</f>
        <v>0.3544745671499529</v>
      </c>
    </row>
    <row r="80" spans="1:4" x14ac:dyDescent="0.2">
      <c r="A80" s="4" t="s">
        <v>69</v>
      </c>
      <c r="B80" s="32">
        <f>'2 Raw data HPLC '!F93</f>
        <v>1.0936999999999999</v>
      </c>
      <c r="C80" s="39">
        <f t="shared" si="2"/>
        <v>1.2538259787831696</v>
      </c>
      <c r="D80" s="47">
        <f>C80*B5/'1 Samples'!O45</f>
        <v>0.36360953384711914</v>
      </c>
    </row>
    <row r="81" spans="1:4" ht="16" thickBot="1" x14ac:dyDescent="0.25">
      <c r="A81" s="7" t="s">
        <v>70</v>
      </c>
      <c r="B81" s="32">
        <f>'2 Raw data HPLC '!F94</f>
        <v>1.0592999999999999</v>
      </c>
      <c r="C81" s="39">
        <f t="shared" si="2"/>
        <v>1.2143895577626511</v>
      </c>
      <c r="D81" s="47">
        <f>C81*B5/'1 Samples'!Q45</f>
        <v>0.3521729717511688</v>
      </c>
    </row>
    <row r="82" spans="1:4" x14ac:dyDescent="0.2">
      <c r="A82" s="1" t="s">
        <v>71</v>
      </c>
      <c r="B82" s="62">
        <f>'2 Raw data HPLC '!F95</f>
        <v>0.97109999999999996</v>
      </c>
      <c r="C82" s="38">
        <f t="shared" si="2"/>
        <v>1.1132764085181823</v>
      </c>
      <c r="D82" s="45">
        <f>C82*B5/'1 Samples'!M47</f>
        <v>0.32231297018662847</v>
      </c>
    </row>
    <row r="83" spans="1:4" x14ac:dyDescent="0.2">
      <c r="A83" s="4" t="s">
        <v>35</v>
      </c>
      <c r="B83" s="32">
        <f>'2 Raw data HPLC '!F96</f>
        <v>0.97189999999999999</v>
      </c>
      <c r="C83" s="39">
        <f t="shared" si="2"/>
        <v>1.1141935345884271</v>
      </c>
      <c r="D83" s="47">
        <f>C83*B5/'1 Samples'!O47</f>
        <v>0.32311612503064385</v>
      </c>
    </row>
    <row r="84" spans="1:4" x14ac:dyDescent="0.2">
      <c r="A84" s="4" t="s">
        <v>36</v>
      </c>
      <c r="B84" s="32">
        <f>'2 Raw data HPLC '!F97</f>
        <v>0.97</v>
      </c>
      <c r="C84" s="39">
        <f t="shared" si="2"/>
        <v>1.1120153601715961</v>
      </c>
      <c r="D84" s="47">
        <f>C84*B5/'1 Samples'!Q47</f>
        <v>0.32194787465866503</v>
      </c>
    </row>
    <row r="85" spans="1:4" x14ac:dyDescent="0.2">
      <c r="A85" s="4" t="s">
        <v>37</v>
      </c>
      <c r="B85" s="32">
        <f>'2 Raw data HPLC '!F98</f>
        <v>0.93869999999999998</v>
      </c>
      <c r="C85" s="39">
        <f t="shared" si="2"/>
        <v>1.0761328026732755</v>
      </c>
      <c r="D85" s="47">
        <f>C85*B5/'1 Samples'!M48</f>
        <v>0.31155924736297824</v>
      </c>
    </row>
    <row r="86" spans="1:4" x14ac:dyDescent="0.2">
      <c r="A86" s="4" t="s">
        <v>38</v>
      </c>
      <c r="B86" s="32">
        <f>'2 Raw data HPLC '!F99</f>
        <v>0.93730000000000002</v>
      </c>
      <c r="C86" s="39">
        <f t="shared" si="2"/>
        <v>1.0745278320503475</v>
      </c>
      <c r="D86" s="47">
        <f>C86*B5/'1 Samples'!O48</f>
        <v>0.31161307129460075</v>
      </c>
    </row>
    <row r="87" spans="1:4" x14ac:dyDescent="0.2">
      <c r="A87" s="4" t="s">
        <v>39</v>
      </c>
      <c r="B87" s="32">
        <f>'2 Raw data HPLC '!F100</f>
        <v>0.93140000000000001</v>
      </c>
      <c r="C87" s="39">
        <f t="shared" si="2"/>
        <v>1.0677640272822932</v>
      </c>
      <c r="D87" s="47">
        <f>C87*B5/'1 Samples'!Q48</f>
        <v>0.30913634067740264</v>
      </c>
    </row>
    <row r="88" spans="1:4" x14ac:dyDescent="0.2">
      <c r="A88" s="4" t="s">
        <v>40</v>
      </c>
      <c r="B88" s="32">
        <f>'2 Raw data HPLC '!F101</f>
        <v>0.97929999999999995</v>
      </c>
      <c r="C88" s="39">
        <f t="shared" si="2"/>
        <v>1.1226769507381897</v>
      </c>
      <c r="D88" s="47">
        <f>C88*B5/'1 Samples'!M49</f>
        <v>0.32503459139508323</v>
      </c>
    </row>
    <row r="89" spans="1:4" x14ac:dyDescent="0.2">
      <c r="A89" s="4" t="s">
        <v>41</v>
      </c>
      <c r="B89" s="32">
        <f>'2 Raw data HPLC '!F102</f>
        <v>0.96899999999999997</v>
      </c>
      <c r="C89" s="39">
        <f t="shared" si="2"/>
        <v>1.1108689525837903</v>
      </c>
      <c r="D89" s="47">
        <f>C89*B5/'1 Samples'!O49</f>
        <v>0.32215199624929913</v>
      </c>
    </row>
    <row r="90" spans="1:4" ht="16" thickBot="1" x14ac:dyDescent="0.25">
      <c r="A90" s="7" t="s">
        <v>42</v>
      </c>
      <c r="B90" s="42">
        <f>'2 Raw data HPLC '!F103</f>
        <v>0.94769999999999999</v>
      </c>
      <c r="C90" s="41">
        <f t="shared" si="2"/>
        <v>1.0864504709635274</v>
      </c>
      <c r="D90" s="63">
        <f>C90*B5/'1 Samples'!Q49</f>
        <v>0.31507063657942297</v>
      </c>
    </row>
    <row r="91" spans="1:4" x14ac:dyDescent="0.2">
      <c r="A91" s="1" t="s">
        <v>72</v>
      </c>
      <c r="B91" s="32">
        <f>'2 Raw data HPLC '!F104</f>
        <v>0.84770000000000001</v>
      </c>
      <c r="C91" s="39">
        <f t="shared" si="2"/>
        <v>0.97180971218295054</v>
      </c>
      <c r="D91" s="47">
        <f>C91*B5/'1 Samples'!M52</f>
        <v>0.28088852146151722</v>
      </c>
    </row>
    <row r="92" spans="1:4" x14ac:dyDescent="0.2">
      <c r="A92" s="4" t="s">
        <v>35</v>
      </c>
      <c r="B92" s="32">
        <f>'2 Raw data HPLC '!F105</f>
        <v>0.84050000000000002</v>
      </c>
      <c r="C92" s="39">
        <f t="shared" si="2"/>
        <v>0.96355557755074894</v>
      </c>
      <c r="D92" s="47">
        <f>C92*B5/'1 Samples'!O52</f>
        <v>0.27850277490669484</v>
      </c>
    </row>
    <row r="93" spans="1:4" x14ac:dyDescent="0.2">
      <c r="A93" s="4" t="s">
        <v>36</v>
      </c>
      <c r="B93" s="32">
        <f>'2 Raw data HPLC '!F106</f>
        <v>0.84009999999999996</v>
      </c>
      <c r="C93" s="39">
        <f t="shared" si="2"/>
        <v>0.96309701451562657</v>
      </c>
      <c r="D93" s="47">
        <f>C93*B5/'1 Samples'!Q52</f>
        <v>0.28023224168180438</v>
      </c>
    </row>
    <row r="94" spans="1:4" x14ac:dyDescent="0.2">
      <c r="A94" s="4" t="s">
        <v>37</v>
      </c>
      <c r="B94" s="32">
        <f>'2 Raw data HPLC '!F107</f>
        <v>0.83240000000000003</v>
      </c>
      <c r="C94" s="39">
        <f t="shared" si="2"/>
        <v>0.95426967608952229</v>
      </c>
      <c r="D94" s="47">
        <f>C94*B5/'1 Samples'!M53</f>
        <v>0.27627774316069359</v>
      </c>
    </row>
    <row r="95" spans="1:4" x14ac:dyDescent="0.2">
      <c r="A95" s="4" t="s">
        <v>38</v>
      </c>
      <c r="B95" s="32">
        <f>'2 Raw data HPLC '!F108</f>
        <v>0.84009999999999996</v>
      </c>
      <c r="C95" s="39">
        <f t="shared" si="2"/>
        <v>0.96309701451562657</v>
      </c>
      <c r="D95" s="47">
        <f>C95*B5/'1 Samples'!O53</f>
        <v>0.27883341185643762</v>
      </c>
    </row>
    <row r="96" spans="1:4" x14ac:dyDescent="0.2">
      <c r="A96" s="4" t="s">
        <v>39</v>
      </c>
      <c r="B96" s="32">
        <f>'2 Raw data HPLC '!F109</f>
        <v>0.84930000000000005</v>
      </c>
      <c r="C96" s="39">
        <f t="shared" si="2"/>
        <v>0.9736439643234398</v>
      </c>
      <c r="D96" s="47">
        <f>C96*B5/'1 Samples'!Q53</f>
        <v>0.28188693809031368</v>
      </c>
    </row>
    <row r="97" spans="1:4" x14ac:dyDescent="0.2">
      <c r="A97" s="4" t="s">
        <v>40</v>
      </c>
      <c r="B97" s="32">
        <f>'2 Raw data HPLC '!F110</f>
        <v>0.86009999999999998</v>
      </c>
      <c r="C97" s="39">
        <f t="shared" si="2"/>
        <v>0.98602516627174197</v>
      </c>
      <c r="D97" s="47">
        <f>C97*B5/'1 Samples'!M54</f>
        <v>0.28594729821880516</v>
      </c>
    </row>
    <row r="98" spans="1:4" x14ac:dyDescent="0.2">
      <c r="A98" s="4" t="s">
        <v>41</v>
      </c>
      <c r="B98" s="32">
        <f>'2 Raw data HPLC '!F111</f>
        <v>0.85460000000000003</v>
      </c>
      <c r="C98" s="39">
        <f t="shared" si="2"/>
        <v>0.97971992453881029</v>
      </c>
      <c r="D98" s="47">
        <f>C98*B5/'1 Samples'!O54</f>
        <v>0.28317486190988861</v>
      </c>
    </row>
    <row r="99" spans="1:4" ht="16" thickBot="1" x14ac:dyDescent="0.25">
      <c r="A99" s="7" t="s">
        <v>42</v>
      </c>
      <c r="B99" s="32">
        <f>'2 Raw data HPLC '!F112</f>
        <v>0.85780000000000001</v>
      </c>
      <c r="C99" s="39">
        <f t="shared" si="2"/>
        <v>0.98338842881978872</v>
      </c>
      <c r="D99" s="47">
        <f>C99*B5/'1 Samples'!Q54</f>
        <v>0.28470813080639473</v>
      </c>
    </row>
    <row r="100" spans="1:4" x14ac:dyDescent="0.2">
      <c r="A100" s="1" t="s">
        <v>43</v>
      </c>
      <c r="B100" s="62">
        <f>'2 Raw data HPLC '!F113</f>
        <v>0.81969999999999998</v>
      </c>
      <c r="C100" s="38">
        <f t="shared" si="2"/>
        <v>0.93971029972438891</v>
      </c>
      <c r="D100" s="45">
        <f>C100*B5/'1 Samples'!M56</f>
        <v>0.27251598692007278</v>
      </c>
    </row>
    <row r="101" spans="1:4" x14ac:dyDescent="0.2">
      <c r="A101" s="4" t="s">
        <v>44</v>
      </c>
      <c r="B101" s="32">
        <f>'2 Raw data HPLC '!F114</f>
        <v>0.91169999999999995</v>
      </c>
      <c r="C101" s="39">
        <f t="shared" si="2"/>
        <v>1.0451797978025197</v>
      </c>
      <c r="D101" s="47">
        <f>C101*B5/'1 Samples'!O56</f>
        <v>0.30310214136273067</v>
      </c>
    </row>
    <row r="102" spans="1:4" x14ac:dyDescent="0.2">
      <c r="A102" s="4" t="s">
        <v>45</v>
      </c>
      <c r="B102" s="32">
        <f>'2 Raw data HPLC '!F115</f>
        <v>0.91469999999999996</v>
      </c>
      <c r="C102" s="39">
        <f t="shared" si="2"/>
        <v>1.0486190205659369</v>
      </c>
      <c r="D102" s="47">
        <f>C102*B5/'1 Samples'!Q56</f>
        <v>0.30409951596412171</v>
      </c>
    </row>
    <row r="103" spans="1:4" x14ac:dyDescent="0.2">
      <c r="A103" s="4" t="s">
        <v>46</v>
      </c>
      <c r="B103" s="32">
        <f>'2 Raw data HPLC '!F116</f>
        <v>0.86050000000000004</v>
      </c>
      <c r="C103" s="39">
        <f t="shared" si="2"/>
        <v>0.98648372930686434</v>
      </c>
      <c r="D103" s="47">
        <f>C103*B5/'1 Samples'!M57</f>
        <v>0.28560427437503222</v>
      </c>
    </row>
    <row r="104" spans="1:4" x14ac:dyDescent="0.2">
      <c r="A104" s="4" t="s">
        <v>47</v>
      </c>
      <c r="B104" s="32">
        <f>'2 Raw data HPLC '!F117</f>
        <v>0.85489999999999999</v>
      </c>
      <c r="C104" s="39">
        <f t="shared" si="2"/>
        <v>0.98006384681515202</v>
      </c>
      <c r="D104" s="47">
        <f>C104*B5/'1 Samples'!O57</f>
        <v>0.28421851557639405</v>
      </c>
    </row>
    <row r="105" spans="1:4" x14ac:dyDescent="0.2">
      <c r="A105" s="4" t="s">
        <v>48</v>
      </c>
      <c r="B105" s="32">
        <f>'2 Raw data HPLC '!F118</f>
        <v>0.85829999999999995</v>
      </c>
      <c r="C105" s="39">
        <f t="shared" si="2"/>
        <v>0.98396163261369163</v>
      </c>
      <c r="D105" s="47">
        <f>C105*B5/'1 Samples'!Q57</f>
        <v>0.28534887345797055</v>
      </c>
    </row>
    <row r="106" spans="1:4" x14ac:dyDescent="0.2">
      <c r="A106" s="4" t="s">
        <v>49</v>
      </c>
      <c r="B106" s="32">
        <f>'2 Raw data HPLC '!F119</f>
        <v>0.9254</v>
      </c>
      <c r="C106" s="39">
        <f>B106/($B$3/100)</f>
        <v>1.0608855817554588</v>
      </c>
      <c r="D106" s="47">
        <f>C106*B5/'1 Samples'!M58</f>
        <v>0.30714491052487486</v>
      </c>
    </row>
    <row r="107" spans="1:4" x14ac:dyDescent="0.2">
      <c r="A107" s="4" t="s">
        <v>50</v>
      </c>
      <c r="B107" s="32">
        <f>'2 Raw data HPLC '!F120</f>
        <v>0.91449999999999998</v>
      </c>
      <c r="C107" s="39">
        <f>B107/($B$3/100)</f>
        <v>1.0483897390483758</v>
      </c>
      <c r="D107" s="47">
        <f>C107*B5/'1 Samples'!O58</f>
        <v>0.30352714574778267</v>
      </c>
    </row>
    <row r="108" spans="1:4" ht="16" thickBot="1" x14ac:dyDescent="0.25">
      <c r="A108" s="7" t="s">
        <v>51</v>
      </c>
      <c r="B108" s="42">
        <f>'2 Raw data HPLC '!F121</f>
        <v>0.92359999999999998</v>
      </c>
      <c r="C108" s="41">
        <f>B108/($B$3/100)</f>
        <v>1.0588220480974084</v>
      </c>
      <c r="D108" s="63">
        <f>C108*B5/'1 Samples'!Q58</f>
        <v>0.30654748147911659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D33"/>
  <sheetViews>
    <sheetView topLeftCell="S1" workbookViewId="0">
      <selection activeCell="T19" sqref="T19"/>
    </sheetView>
  </sheetViews>
  <sheetFormatPr baseColWidth="10" defaultColWidth="8.83203125" defaultRowHeight="15" x14ac:dyDescent="0.2"/>
  <cols>
    <col min="1" max="1" width="20.5" style="11" customWidth="1"/>
    <col min="2" max="3" width="8.83203125" style="11"/>
    <col min="4" max="4" width="10.5" style="11" bestFit="1" customWidth="1"/>
    <col min="5" max="5" width="13.6640625" style="11" bestFit="1" customWidth="1"/>
    <col min="6" max="6" width="8.83203125" style="11"/>
    <col min="7" max="7" width="24.5" style="11" bestFit="1" customWidth="1"/>
    <col min="8" max="8" width="11.1640625" style="11" bestFit="1" customWidth="1"/>
    <col min="9" max="9" width="11.1640625" style="11" customWidth="1"/>
    <col min="10" max="10" width="31.6640625" style="11" customWidth="1"/>
    <col min="11" max="11" width="12.5" style="11" customWidth="1"/>
    <col min="12" max="12" width="2.33203125" style="11" customWidth="1"/>
    <col min="13" max="13" width="37.6640625" style="11" bestFit="1" customWidth="1"/>
    <col min="14" max="14" width="12.5" style="11" customWidth="1"/>
    <col min="15" max="15" width="8.83203125" style="11"/>
    <col min="16" max="16" width="24" style="11" bestFit="1" customWidth="1"/>
    <col min="17" max="18" width="8.83203125" style="11"/>
    <col min="19" max="19" width="34.5" style="11" bestFit="1" customWidth="1"/>
    <col min="20" max="20" width="13.83203125" style="11" customWidth="1"/>
    <col min="21" max="21" width="8.83203125" style="11"/>
    <col min="22" max="22" width="13.33203125" style="11" bestFit="1" customWidth="1"/>
    <col min="23" max="23" width="12" style="11" bestFit="1" customWidth="1"/>
    <col min="24" max="24" width="10.1640625" style="11" bestFit="1" customWidth="1"/>
    <col min="25" max="25" width="10.1640625" style="11" customWidth="1"/>
    <col min="26" max="26" width="16.33203125" style="11" bestFit="1" customWidth="1"/>
    <col min="27" max="27" width="22.5" style="11" bestFit="1" customWidth="1"/>
    <col min="28" max="28" width="19.33203125" style="11" bestFit="1" customWidth="1"/>
    <col min="29" max="29" width="12.6640625" style="11" bestFit="1" customWidth="1"/>
    <col min="30" max="30" width="14.6640625" style="11" bestFit="1" customWidth="1"/>
    <col min="31" max="16384" width="8.83203125" style="11"/>
  </cols>
  <sheetData>
    <row r="1" spans="1:30" x14ac:dyDescent="0.2">
      <c r="A1" s="190" t="s">
        <v>292</v>
      </c>
      <c r="B1" s="191"/>
      <c r="C1" s="191"/>
      <c r="D1" s="191"/>
      <c r="E1" s="191"/>
    </row>
    <row r="3" spans="1:30" x14ac:dyDescent="0.2">
      <c r="A3" s="10" t="s">
        <v>394</v>
      </c>
      <c r="B3" s="10"/>
      <c r="C3" s="10"/>
      <c r="D3" s="5" t="s">
        <v>212</v>
      </c>
      <c r="E3" s="5"/>
    </row>
    <row r="6" spans="1:30" ht="16" thickBot="1" x14ac:dyDescent="0.25">
      <c r="A6" s="10" t="s">
        <v>84</v>
      </c>
      <c r="J6" s="10" t="s">
        <v>88</v>
      </c>
    </row>
    <row r="7" spans="1:30" x14ac:dyDescent="0.2">
      <c r="A7" s="192" t="s">
        <v>293</v>
      </c>
      <c r="B7" s="33" t="s">
        <v>80</v>
      </c>
      <c r="C7" s="33" t="s">
        <v>81</v>
      </c>
      <c r="D7" s="34" t="s">
        <v>295</v>
      </c>
      <c r="E7" s="192" t="s">
        <v>381</v>
      </c>
      <c r="P7" s="198" t="s">
        <v>311</v>
      </c>
      <c r="S7" s="198" t="s">
        <v>82</v>
      </c>
      <c r="V7" s="198" t="s">
        <v>90</v>
      </c>
    </row>
    <row r="8" spans="1:30" ht="16" thickBot="1" x14ac:dyDescent="0.25">
      <c r="A8" s="193" t="s">
        <v>79</v>
      </c>
      <c r="B8" s="37" t="s">
        <v>76</v>
      </c>
      <c r="C8" s="37" t="s">
        <v>76</v>
      </c>
      <c r="D8" s="194" t="s">
        <v>294</v>
      </c>
      <c r="E8" s="203" t="s">
        <v>382</v>
      </c>
      <c r="G8" s="108" t="s">
        <v>87</v>
      </c>
      <c r="H8" s="50"/>
      <c r="J8" s="198" t="s">
        <v>310</v>
      </c>
    </row>
    <row r="9" spans="1:30" ht="18" x14ac:dyDescent="0.25">
      <c r="A9" s="62">
        <v>0</v>
      </c>
      <c r="B9" s="249">
        <v>11.5723</v>
      </c>
      <c r="C9" s="168">
        <v>0.1394</v>
      </c>
      <c r="D9" s="56">
        <v>50000</v>
      </c>
      <c r="E9" s="234">
        <f>H11+K12</f>
        <v>1.35</v>
      </c>
      <c r="F9" s="54"/>
      <c r="G9" s="200" t="s">
        <v>86</v>
      </c>
      <c r="H9" s="229">
        <v>0.42259999999999998</v>
      </c>
      <c r="I9" s="5"/>
      <c r="J9" s="196" t="s">
        <v>298</v>
      </c>
      <c r="K9" s="110"/>
      <c r="L9" s="110"/>
      <c r="M9" s="196" t="s">
        <v>306</v>
      </c>
      <c r="N9" s="110"/>
      <c r="P9" s="196" t="s">
        <v>89</v>
      </c>
      <c r="Q9" s="233"/>
      <c r="S9" s="196" t="s">
        <v>348</v>
      </c>
      <c r="T9" s="226">
        <f>Q14/N20</f>
        <v>1.1289314163107953</v>
      </c>
      <c r="V9" s="192" t="s">
        <v>315</v>
      </c>
      <c r="W9" s="33" t="s">
        <v>321</v>
      </c>
      <c r="X9" s="33" t="s">
        <v>80</v>
      </c>
      <c r="Y9" s="33" t="s">
        <v>317</v>
      </c>
      <c r="Z9" s="34" t="s">
        <v>81</v>
      </c>
      <c r="AA9" s="205" t="s">
        <v>217</v>
      </c>
      <c r="AB9" s="206" t="s">
        <v>83</v>
      </c>
      <c r="AC9" s="43" t="s">
        <v>392</v>
      </c>
      <c r="AD9" s="34" t="s">
        <v>393</v>
      </c>
    </row>
    <row r="10" spans="1:30" ht="18" thickBot="1" x14ac:dyDescent="0.3">
      <c r="A10" s="32">
        <v>3</v>
      </c>
      <c r="B10" s="245">
        <v>17.441600000000001</v>
      </c>
      <c r="C10" s="169">
        <v>0.121</v>
      </c>
      <c r="D10" s="48">
        <v>0</v>
      </c>
      <c r="E10" s="235">
        <f t="shared" ref="E10:E21" si="0">E9-$H$17</f>
        <v>1.3284</v>
      </c>
      <c r="F10" s="54"/>
      <c r="G10" s="200" t="s">
        <v>304</v>
      </c>
      <c r="H10" s="229">
        <v>354.94557501183152</v>
      </c>
      <c r="I10" s="5"/>
      <c r="J10" s="109"/>
      <c r="K10" s="110"/>
      <c r="L10" s="110"/>
      <c r="M10" s="109"/>
      <c r="N10" s="110"/>
      <c r="P10" s="110"/>
      <c r="Q10" s="110"/>
      <c r="S10" s="196" t="s">
        <v>374</v>
      </c>
      <c r="T10" s="226">
        <f>Q14/N18</f>
        <v>1.063090101946649</v>
      </c>
      <c r="V10" s="203" t="s">
        <v>79</v>
      </c>
      <c r="W10" s="53" t="s">
        <v>316</v>
      </c>
      <c r="X10" s="53" t="s">
        <v>78</v>
      </c>
      <c r="Y10" s="53" t="s">
        <v>318</v>
      </c>
      <c r="Z10" s="55" t="s">
        <v>319</v>
      </c>
      <c r="AA10" s="207" t="s">
        <v>323</v>
      </c>
      <c r="AB10" s="208" t="s">
        <v>322</v>
      </c>
      <c r="AC10" s="61"/>
      <c r="AD10" s="55"/>
    </row>
    <row r="11" spans="1:30" ht="18" x14ac:dyDescent="0.25">
      <c r="A11" s="32">
        <v>6</v>
      </c>
      <c r="B11" s="245">
        <v>21.430499999999999</v>
      </c>
      <c r="C11" s="169">
        <v>0.1351</v>
      </c>
      <c r="D11" s="48">
        <v>0</v>
      </c>
      <c r="E11" s="235">
        <f t="shared" si="0"/>
        <v>1.3068</v>
      </c>
      <c r="F11" s="54"/>
      <c r="G11" s="109" t="s">
        <v>305</v>
      </c>
      <c r="H11" s="229">
        <f>(1500-H10)/1000</f>
        <v>1.1450544249881685</v>
      </c>
      <c r="I11" s="5"/>
      <c r="J11" s="109" t="s">
        <v>302</v>
      </c>
      <c r="K11" s="199">
        <v>6.8</v>
      </c>
      <c r="L11" s="199"/>
      <c r="M11" s="200" t="s">
        <v>307</v>
      </c>
      <c r="N11" s="230">
        <f>B21*(E21)</f>
        <v>1.678195799999999</v>
      </c>
      <c r="O11" s="5"/>
      <c r="P11" s="109" t="s">
        <v>312</v>
      </c>
      <c r="Q11" s="229">
        <f>C9*(E9)</f>
        <v>0.18819</v>
      </c>
      <c r="R11" s="5"/>
      <c r="S11" s="196" t="s">
        <v>375</v>
      </c>
      <c r="T11" s="226">
        <f>Q14/(H9*H10)</f>
        <v>0.26527590719999983</v>
      </c>
      <c r="V11" s="30">
        <f t="shared" ref="V11:V22" si="1">A9</f>
        <v>0</v>
      </c>
      <c r="W11" s="168">
        <v>1.35</v>
      </c>
      <c r="X11" s="168">
        <f t="shared" ref="X11:X22" si="2">B9*W11</f>
        <v>15.622605000000002</v>
      </c>
      <c r="Y11" s="38">
        <f>D9*$X$24</f>
        <v>75000000</v>
      </c>
      <c r="Z11" s="239">
        <f t="shared" ref="Z11:Z22" si="3">C9*W11</f>
        <v>0.18819</v>
      </c>
      <c r="AA11" s="62"/>
      <c r="AB11" s="45"/>
      <c r="AC11" s="286">
        <f>LN(Z11)</f>
        <v>-1.6703031882053754</v>
      </c>
      <c r="AD11" s="287">
        <v>-1.6703031882053754</v>
      </c>
    </row>
    <row r="12" spans="1:30" ht="18" x14ac:dyDescent="0.25">
      <c r="A12" s="32">
        <v>9</v>
      </c>
      <c r="B12" s="245">
        <v>24.970099999999999</v>
      </c>
      <c r="C12" s="169">
        <v>0.16209999999999999</v>
      </c>
      <c r="D12" s="48">
        <v>0</v>
      </c>
      <c r="E12" s="235">
        <f t="shared" si="0"/>
        <v>1.2851999999999999</v>
      </c>
      <c r="F12" s="54"/>
      <c r="G12" s="108" t="s">
        <v>94</v>
      </c>
      <c r="H12" s="50">
        <f>H10+H11*1000</f>
        <v>1500</v>
      </c>
      <c r="I12" s="5"/>
      <c r="J12" s="109" t="s">
        <v>301</v>
      </c>
      <c r="K12" s="229">
        <f>(1-H9)*H10/1000</f>
        <v>0.20494557501183153</v>
      </c>
      <c r="L12" s="199"/>
      <c r="M12" s="110"/>
      <c r="N12" s="110"/>
      <c r="O12" s="5"/>
      <c r="P12" s="109" t="s">
        <v>313</v>
      </c>
      <c r="Q12" s="229">
        <f>C21*(E21)</f>
        <v>37.061238959999976</v>
      </c>
      <c r="R12" s="5"/>
      <c r="V12" s="46">
        <f t="shared" si="1"/>
        <v>3</v>
      </c>
      <c r="W12" s="169">
        <v>1.3284</v>
      </c>
      <c r="X12" s="169">
        <f t="shared" si="2"/>
        <v>23.169421440000001</v>
      </c>
      <c r="Y12" s="39">
        <f>D10*($X$24-(COUNT($V$11:V11)*0.024*1000))</f>
        <v>0</v>
      </c>
      <c r="Z12" s="240">
        <f t="shared" si="3"/>
        <v>0.1607364</v>
      </c>
      <c r="AA12" s="243">
        <f>((A10-A9)/(A11-A9)*(C11-C10)/(A11-A10))+((C10-C9)/(A10-A9)*(A11-A10)/(A11-A9))</f>
        <v>-7.1666666666666667E-4</v>
      </c>
      <c r="AB12" s="285" t="s">
        <v>397</v>
      </c>
      <c r="AC12" s="288">
        <f t="shared" ref="AC12:AC22" si="4">LN(Z12)</f>
        <v>-1.8279895228649414</v>
      </c>
      <c r="AD12" s="289">
        <v>-1.6703031882053754</v>
      </c>
    </row>
    <row r="13" spans="1:30" x14ac:dyDescent="0.2">
      <c r="A13" s="32">
        <v>12</v>
      </c>
      <c r="B13" s="245">
        <v>27.9163</v>
      </c>
      <c r="C13" s="169">
        <v>0.26889999999999997</v>
      </c>
      <c r="D13" s="48">
        <v>1050000</v>
      </c>
      <c r="E13" s="235">
        <f t="shared" si="0"/>
        <v>1.2635999999999998</v>
      </c>
      <c r="F13" s="54"/>
      <c r="G13" s="36"/>
      <c r="J13" s="199"/>
      <c r="K13" s="110"/>
      <c r="L13" s="199"/>
      <c r="M13" s="200"/>
      <c r="N13" s="200"/>
      <c r="O13" s="5"/>
      <c r="P13" s="110"/>
      <c r="Q13" s="110"/>
      <c r="S13" s="51"/>
      <c r="V13" s="46">
        <f t="shared" si="1"/>
        <v>6</v>
      </c>
      <c r="W13" s="169">
        <v>1.3068</v>
      </c>
      <c r="X13" s="169">
        <f t="shared" si="2"/>
        <v>28.005377399999997</v>
      </c>
      <c r="Y13" s="39">
        <f>D11*($X$24-(COUNT($V$11:V12)*0.024*1000))</f>
        <v>0</v>
      </c>
      <c r="Z13" s="240">
        <f t="shared" si="3"/>
        <v>0.17654867999999999</v>
      </c>
      <c r="AA13" s="243">
        <f t="shared" ref="AA13:AA21" si="5">((A11-A10)/(A12-A10)*(C12-C11)/(A12-A11))+((C11-C10)/(A11-A10)*(A12-A11)/(A12-A10))</f>
        <v>6.8500000000000002E-3</v>
      </c>
      <c r="AB13" s="285" t="s">
        <v>397</v>
      </c>
      <c r="AC13" s="288">
        <f t="shared" si="4"/>
        <v>-1.734158633271206</v>
      </c>
      <c r="AD13" s="289">
        <v>-1.6703031882053754</v>
      </c>
    </row>
    <row r="14" spans="1:30" ht="18" x14ac:dyDescent="0.25">
      <c r="A14" s="32">
        <v>15</v>
      </c>
      <c r="B14" s="245">
        <v>28.513500000000001</v>
      </c>
      <c r="C14" s="169">
        <v>1.0678000000000001</v>
      </c>
      <c r="D14" s="48">
        <v>3050000</v>
      </c>
      <c r="E14" s="235">
        <f t="shared" si="0"/>
        <v>1.2419999999999998</v>
      </c>
      <c r="F14" s="54"/>
      <c r="G14" s="5"/>
      <c r="J14" s="109" t="s">
        <v>303</v>
      </c>
      <c r="K14" s="229">
        <f>(10*243.364/1000+K11*K12)/(E9)</f>
        <v>2.8350147482077439</v>
      </c>
      <c r="L14" s="199"/>
      <c r="M14" s="196" t="s">
        <v>327</v>
      </c>
      <c r="N14" s="110"/>
      <c r="O14" s="5"/>
      <c r="P14" s="196" t="s">
        <v>314</v>
      </c>
      <c r="Q14" s="233">
        <f>Q12-Q11+H19</f>
        <v>39.791386079999974</v>
      </c>
      <c r="V14" s="46">
        <f t="shared" si="1"/>
        <v>9</v>
      </c>
      <c r="W14" s="169">
        <v>1.2851999999999999</v>
      </c>
      <c r="X14" s="169">
        <f t="shared" si="2"/>
        <v>32.091572519999993</v>
      </c>
      <c r="Y14" s="39">
        <f>D12*($X$24-(COUNT($V$11:V13)*0.024*1000))</f>
        <v>0</v>
      </c>
      <c r="Z14" s="240">
        <f t="shared" si="3"/>
        <v>0.20833091999999998</v>
      </c>
      <c r="AA14" s="243">
        <f t="shared" si="5"/>
        <v>2.2299999999999997E-2</v>
      </c>
      <c r="AB14" s="285" t="s">
        <v>397</v>
      </c>
      <c r="AC14" s="288">
        <f t="shared" si="4"/>
        <v>-1.5686275019809404</v>
      </c>
      <c r="AD14" s="289">
        <v>-1.6703031882053754</v>
      </c>
    </row>
    <row r="15" spans="1:30" ht="18" x14ac:dyDescent="0.25">
      <c r="A15" s="32">
        <v>21</v>
      </c>
      <c r="B15" s="245">
        <v>17.300999999999998</v>
      </c>
      <c r="C15" s="169">
        <v>11.3505</v>
      </c>
      <c r="D15" s="48">
        <v>31500000</v>
      </c>
      <c r="E15" s="235">
        <f t="shared" si="0"/>
        <v>1.2203999999999997</v>
      </c>
      <c r="F15" s="54"/>
      <c r="G15" s="108" t="s">
        <v>309</v>
      </c>
      <c r="H15" s="50"/>
      <c r="J15" s="109" t="s">
        <v>300</v>
      </c>
      <c r="K15" s="230">
        <f>10*243.364/1000+K11*K12</f>
        <v>3.8272699100804544</v>
      </c>
      <c r="L15" s="199"/>
      <c r="M15" s="200"/>
      <c r="N15" s="200"/>
      <c r="V15" s="46">
        <f t="shared" si="1"/>
        <v>12</v>
      </c>
      <c r="W15" s="169">
        <v>1.2635999999999998</v>
      </c>
      <c r="X15" s="169">
        <f t="shared" si="2"/>
        <v>35.275036679999992</v>
      </c>
      <c r="Y15" s="54">
        <f>D13*($X$24-(COUNT($V$11:V14)*0.024*1000))</f>
        <v>1474200000</v>
      </c>
      <c r="Z15" s="240">
        <f t="shared" si="3"/>
        <v>0.3397820399999999</v>
      </c>
      <c r="AA15" s="243">
        <f t="shared" si="5"/>
        <v>0.15095000000000003</v>
      </c>
      <c r="AB15" s="211">
        <f t="shared" ref="AB15:AB21" si="6">(AA15*0.9/1000)/D13</f>
        <v>1.2938571428571431E-10</v>
      </c>
      <c r="AC15" s="288">
        <f t="shared" si="4"/>
        <v>-1.0794509257615252</v>
      </c>
      <c r="AD15" s="289">
        <v>-1.6703031882053754</v>
      </c>
    </row>
    <row r="16" spans="1:30" x14ac:dyDescent="0.2">
      <c r="A16" s="32">
        <v>24</v>
      </c>
      <c r="B16" s="245">
        <v>15.332700000000001</v>
      </c>
      <c r="C16" s="169">
        <v>17.413</v>
      </c>
      <c r="D16" s="48">
        <f>AVERAGE(47,72)/10^(-5)/0.1</f>
        <v>59499999.999999985</v>
      </c>
      <c r="E16" s="235">
        <f t="shared" si="0"/>
        <v>1.1987999999999996</v>
      </c>
      <c r="F16" s="54"/>
      <c r="G16" s="199" t="s">
        <v>95</v>
      </c>
      <c r="H16" s="199">
        <f>COUNT(A9:A20)</f>
        <v>12</v>
      </c>
      <c r="J16" s="200"/>
      <c r="K16" s="200"/>
      <c r="L16" s="199"/>
      <c r="M16" s="200" t="s">
        <v>328</v>
      </c>
      <c r="N16" s="231">
        <f>AVERAGE('4 Amount of released glucose'!D10:D18)*'5 No pre-adapt. X=5mg'!H9*'5 No pre-adapt. X=5mg'!H10</f>
        <v>87.296317767830757</v>
      </c>
      <c r="V16" s="46">
        <f t="shared" si="1"/>
        <v>15</v>
      </c>
      <c r="W16" s="169">
        <v>1.2419999999999998</v>
      </c>
      <c r="X16" s="169">
        <f t="shared" si="2"/>
        <v>35.413766999999993</v>
      </c>
      <c r="Y16" s="54">
        <f>D14*($X$24-(COUNT($V$11:V15)*0.024*1000))</f>
        <v>4209000000</v>
      </c>
      <c r="Z16" s="240">
        <f t="shared" si="3"/>
        <v>1.3262075999999998</v>
      </c>
      <c r="AA16" s="243">
        <f t="shared" si="5"/>
        <v>0.74879444444444454</v>
      </c>
      <c r="AB16" s="211">
        <f t="shared" si="6"/>
        <v>2.2095573770491809E-10</v>
      </c>
      <c r="AC16" s="288">
        <f t="shared" si="4"/>
        <v>0.28232344059523568</v>
      </c>
      <c r="AD16" s="289">
        <v>-1.6703031882053754</v>
      </c>
    </row>
    <row r="17" spans="1:30" ht="17" x14ac:dyDescent="0.25">
      <c r="A17" s="32">
        <v>27</v>
      </c>
      <c r="B17" s="245">
        <v>11.870799999999999</v>
      </c>
      <c r="C17" s="169">
        <v>21.634399999999999</v>
      </c>
      <c r="D17" s="48">
        <v>18000000</v>
      </c>
      <c r="E17" s="235">
        <f t="shared" si="0"/>
        <v>1.1771999999999996</v>
      </c>
      <c r="F17" s="54"/>
      <c r="G17" s="199" t="s">
        <v>96</v>
      </c>
      <c r="H17" s="199">
        <f>0.9*0.024</f>
        <v>2.1600000000000001E-2</v>
      </c>
      <c r="I17" s="5"/>
      <c r="J17" s="110"/>
      <c r="K17" s="110"/>
      <c r="L17" s="110"/>
      <c r="M17" s="200" t="s">
        <v>329</v>
      </c>
      <c r="N17" s="231">
        <f>AVERAGE('4 Amount of released glucose'!D19:D27)*'5 No pre-adapt. X=5mg'!H9*'5 No pre-adapt. X=5mg'!H10</f>
        <v>49.866389667534236</v>
      </c>
      <c r="V17" s="46">
        <f t="shared" si="1"/>
        <v>21</v>
      </c>
      <c r="W17" s="169">
        <v>1.2203999999999997</v>
      </c>
      <c r="X17" s="169">
        <f t="shared" si="2"/>
        <v>21.114140399999993</v>
      </c>
      <c r="Y17" s="54">
        <f>D15*($X$24-(COUNT($V$11:V16)*0.024*1000))</f>
        <v>42714000000</v>
      </c>
      <c r="Z17" s="240">
        <f t="shared" si="3"/>
        <v>13.852150199999997</v>
      </c>
      <c r="AA17" s="243">
        <f t="shared" si="5"/>
        <v>1.9184833333333331</v>
      </c>
      <c r="AB17" s="211">
        <f t="shared" si="6"/>
        <v>5.4813809523809523E-11</v>
      </c>
      <c r="AC17" s="288">
        <f t="shared" si="4"/>
        <v>2.628440469680926</v>
      </c>
      <c r="AD17" s="289"/>
    </row>
    <row r="18" spans="1:30" x14ac:dyDescent="0.2">
      <c r="A18" s="32">
        <v>30</v>
      </c>
      <c r="B18" s="245">
        <v>10.335900000000001</v>
      </c>
      <c r="C18" s="169">
        <v>26.0061</v>
      </c>
      <c r="D18" s="48">
        <f>AVERAGE(420,472)/10^(-4)/0.1</f>
        <v>44600000</v>
      </c>
      <c r="E18" s="235">
        <f t="shared" si="0"/>
        <v>1.1555999999999995</v>
      </c>
      <c r="F18" s="54"/>
      <c r="G18" s="200" t="s">
        <v>97</v>
      </c>
      <c r="H18" s="230">
        <f>H17*(SUM(B9:B20))</f>
        <v>4.3320549599999998</v>
      </c>
      <c r="I18" s="5"/>
      <c r="J18" s="110"/>
      <c r="K18" s="110"/>
      <c r="L18" s="110"/>
      <c r="M18" s="200" t="s">
        <v>330</v>
      </c>
      <c r="N18" s="232">
        <f>N16-N17</f>
        <v>37.429928100296522</v>
      </c>
      <c r="V18" s="46">
        <f t="shared" si="1"/>
        <v>24</v>
      </c>
      <c r="W18" s="169">
        <v>1.1987999999999996</v>
      </c>
      <c r="X18" s="169">
        <f t="shared" si="2"/>
        <v>18.380840759999995</v>
      </c>
      <c r="Y18" s="54">
        <f>D16*($X$24-(COUNT($V$11:V17)*0.024*1000))</f>
        <v>79253999999.999985</v>
      </c>
      <c r="Z18" s="240">
        <f t="shared" si="3"/>
        <v>20.874704399999995</v>
      </c>
      <c r="AA18" s="243">
        <f t="shared" si="5"/>
        <v>1.7139833333333332</v>
      </c>
      <c r="AB18" s="211">
        <f t="shared" si="6"/>
        <v>2.5925798319327736E-11</v>
      </c>
      <c r="AC18" s="288">
        <f t="shared" si="4"/>
        <v>3.0385381101576163</v>
      </c>
      <c r="AD18" s="289"/>
    </row>
    <row r="19" spans="1:30" x14ac:dyDescent="0.2">
      <c r="A19" s="32">
        <v>33</v>
      </c>
      <c r="B19" s="245">
        <v>7.7653999999999996</v>
      </c>
      <c r="C19" s="169">
        <v>27.154299999999999</v>
      </c>
      <c r="D19" s="48">
        <v>63000000</v>
      </c>
      <c r="E19" s="235">
        <f t="shared" si="0"/>
        <v>1.1339999999999995</v>
      </c>
      <c r="F19" s="54"/>
      <c r="G19" s="200" t="s">
        <v>98</v>
      </c>
      <c r="H19" s="230">
        <f>H17*(SUM(C9:C20))</f>
        <v>2.9183371199999999</v>
      </c>
      <c r="I19" s="5"/>
      <c r="J19" s="110"/>
      <c r="K19" s="110"/>
      <c r="L19" s="110"/>
      <c r="M19" s="110"/>
      <c r="N19" s="110"/>
      <c r="V19" s="46">
        <f t="shared" si="1"/>
        <v>27</v>
      </c>
      <c r="W19" s="169">
        <v>1.1771999999999996</v>
      </c>
      <c r="X19" s="169">
        <f t="shared" si="2"/>
        <v>13.974305759999995</v>
      </c>
      <c r="Y19" s="54">
        <f>D17*($X$24-(COUNT($V$11:V18)*0.024*1000))</f>
        <v>23544000000</v>
      </c>
      <c r="Z19" s="240">
        <f t="shared" si="3"/>
        <v>25.46801567999999</v>
      </c>
      <c r="AA19" s="243">
        <f t="shared" si="5"/>
        <v>1.4321833333333334</v>
      </c>
      <c r="AB19" s="211">
        <f t="shared" si="6"/>
        <v>7.1609166666666676E-11</v>
      </c>
      <c r="AC19" s="288">
        <f t="shared" si="4"/>
        <v>3.237423377829161</v>
      </c>
      <c r="AD19" s="289"/>
    </row>
    <row r="20" spans="1:30" x14ac:dyDescent="0.2">
      <c r="A20" s="264">
        <v>36</v>
      </c>
      <c r="B20" s="252">
        <v>6.1079999999999997</v>
      </c>
      <c r="C20" s="253">
        <v>29.6556</v>
      </c>
      <c r="D20" s="258">
        <v>68000000</v>
      </c>
      <c r="E20" s="259">
        <f t="shared" si="0"/>
        <v>1.1123999999999994</v>
      </c>
      <c r="F20" s="54"/>
      <c r="I20" s="5"/>
      <c r="J20" s="110"/>
      <c r="K20" s="110"/>
      <c r="L20" s="110"/>
      <c r="M20" s="196" t="s">
        <v>347</v>
      </c>
      <c r="N20" s="233">
        <f>N18+K15-H18-N11</f>
        <v>35.246947250376977</v>
      </c>
      <c r="V20" s="204">
        <f t="shared" si="1"/>
        <v>30</v>
      </c>
      <c r="W20" s="237">
        <v>1.1555999999999995</v>
      </c>
      <c r="X20" s="169">
        <f t="shared" si="2"/>
        <v>11.944166039999995</v>
      </c>
      <c r="Y20" s="54">
        <f>D18*($X$24-(COUNT($V$11:V19)*0.024*1000))</f>
        <v>57266400000</v>
      </c>
      <c r="Z20" s="241">
        <f t="shared" si="3"/>
        <v>30.052649159999987</v>
      </c>
      <c r="AA20" s="243">
        <f t="shared" si="5"/>
        <v>0.91998333333333338</v>
      </c>
      <c r="AB20" s="211">
        <f t="shared" si="6"/>
        <v>1.8564686098654709E-11</v>
      </c>
      <c r="AC20" s="288">
        <f t="shared" si="4"/>
        <v>3.4029508154981549</v>
      </c>
      <c r="AD20" s="289"/>
    </row>
    <row r="21" spans="1:30" ht="16" thickBot="1" x14ac:dyDescent="0.25">
      <c r="A21" s="42">
        <v>45</v>
      </c>
      <c r="B21" s="246">
        <v>1.5385</v>
      </c>
      <c r="C21" s="238">
        <v>33.976199999999999</v>
      </c>
      <c r="D21" s="9"/>
      <c r="E21" s="236">
        <f t="shared" si="0"/>
        <v>1.0907999999999993</v>
      </c>
      <c r="I21" s="5"/>
      <c r="J21" s="5"/>
      <c r="K21" s="5"/>
      <c r="V21" s="46">
        <f t="shared" si="1"/>
        <v>33</v>
      </c>
      <c r="W21" s="169">
        <v>1.1339999999999995</v>
      </c>
      <c r="X21" s="169">
        <f t="shared" si="2"/>
        <v>8.8059635999999948</v>
      </c>
      <c r="Y21" s="54">
        <f>D19*($X$24-(COUNT($V$11:V20)*0.024*1000))</f>
        <v>79380000000</v>
      </c>
      <c r="Z21" s="240">
        <f t="shared" si="3"/>
        <v>30.792976199999984</v>
      </c>
      <c r="AA21" s="243">
        <f t="shared" si="5"/>
        <v>0.60824999999999996</v>
      </c>
      <c r="AB21" s="211">
        <f t="shared" si="6"/>
        <v>8.6892857142857137E-12</v>
      </c>
      <c r="AC21" s="288">
        <f t="shared" si="4"/>
        <v>3.4272866185186643</v>
      </c>
      <c r="AD21" s="289"/>
    </row>
    <row r="22" spans="1:30" ht="16" thickBot="1" x14ac:dyDescent="0.25">
      <c r="D22" s="222"/>
      <c r="V22" s="260">
        <f t="shared" si="1"/>
        <v>36</v>
      </c>
      <c r="W22" s="261">
        <v>1.1123999999999994</v>
      </c>
      <c r="X22" s="261">
        <f t="shared" si="2"/>
        <v>6.7945391999999956</v>
      </c>
      <c r="Y22" s="262">
        <f>D20*($X$24-(COUNT($V$11:V21)*0.024*1000))</f>
        <v>84048000000</v>
      </c>
      <c r="Z22" s="263">
        <f t="shared" si="3"/>
        <v>32.98888943999998</v>
      </c>
      <c r="AA22" s="264"/>
      <c r="AB22" s="265"/>
      <c r="AC22" s="297">
        <f t="shared" si="4"/>
        <v>3.4961708211394558</v>
      </c>
      <c r="AD22" s="298"/>
    </row>
    <row r="23" spans="1:30" ht="16" thickBot="1" x14ac:dyDescent="0.25">
      <c r="AA23" s="205"/>
      <c r="AB23" s="206"/>
    </row>
    <row r="24" spans="1:30" ht="18" thickBot="1" x14ac:dyDescent="0.25">
      <c r="A24" s="11" t="s">
        <v>296</v>
      </c>
      <c r="J24" s="36"/>
      <c r="K24" s="36"/>
      <c r="V24" s="44" t="s">
        <v>94</v>
      </c>
      <c r="W24" s="59"/>
      <c r="X24" s="60">
        <f>H11*1000+H10</f>
        <v>1500</v>
      </c>
      <c r="Z24" s="10" t="s">
        <v>93</v>
      </c>
      <c r="AA24" s="301">
        <f>MAX(AA12:AA21)</f>
        <v>1.9184833333333331</v>
      </c>
      <c r="AB24" s="302">
        <f>MAX(AB15:AB21)</f>
        <v>2.2095573770491809E-10</v>
      </c>
    </row>
    <row r="25" spans="1:30" ht="18" thickBot="1" x14ac:dyDescent="0.25">
      <c r="A25" s="49" t="s">
        <v>297</v>
      </c>
      <c r="J25" s="5"/>
      <c r="K25" s="5"/>
      <c r="Z25" s="10" t="s">
        <v>99</v>
      </c>
      <c r="AA25" s="303">
        <f>(C20-C9)/A20</f>
        <v>0.81989444444444448</v>
      </c>
      <c r="AB25" s="304">
        <f>AVERAGE(AB15:AB21)</f>
        <v>7.5706314044768108E-11</v>
      </c>
    </row>
    <row r="26" spans="1:30" ht="17" x14ac:dyDescent="0.2">
      <c r="A26" s="49" t="s">
        <v>299</v>
      </c>
      <c r="B26" s="10"/>
    </row>
    <row r="27" spans="1:30" ht="17" x14ac:dyDescent="0.2">
      <c r="A27" s="49" t="s">
        <v>385</v>
      </c>
      <c r="AC27" s="29"/>
    </row>
    <row r="28" spans="1:30" ht="17" x14ac:dyDescent="0.2">
      <c r="A28" s="49" t="s">
        <v>308</v>
      </c>
    </row>
    <row r="29" spans="1:30" ht="17" x14ac:dyDescent="0.2">
      <c r="A29" s="49" t="s">
        <v>320</v>
      </c>
      <c r="AA29" s="51"/>
    </row>
    <row r="30" spans="1:30" x14ac:dyDescent="0.2">
      <c r="AA30" s="51"/>
      <c r="AB30" s="51"/>
      <c r="AC30" s="51"/>
    </row>
    <row r="33" spans="22:22" x14ac:dyDescent="0.2">
      <c r="V33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P78"/>
  <sheetViews>
    <sheetView zoomScaleNormal="100" workbookViewId="0">
      <selection activeCell="H13" sqref="H13"/>
    </sheetView>
  </sheetViews>
  <sheetFormatPr baseColWidth="10" defaultColWidth="8.83203125" defaultRowHeight="15" x14ac:dyDescent="0.2"/>
  <cols>
    <col min="1" max="1" width="20.5" style="11" customWidth="1"/>
    <col min="2" max="2" width="10.6640625" style="11" customWidth="1"/>
    <col min="3" max="3" width="8.83203125" style="11"/>
    <col min="4" max="4" width="9.83203125" style="11" bestFit="1" customWidth="1"/>
    <col min="5" max="5" width="13.6640625" style="11" bestFit="1" customWidth="1"/>
    <col min="6" max="6" width="8.83203125" style="11"/>
    <col min="7" max="7" width="24.5" style="11" bestFit="1" customWidth="1"/>
    <col min="8" max="8" width="13.1640625" style="11" customWidth="1"/>
    <col min="9" max="9" width="11.1640625" style="11" bestFit="1" customWidth="1"/>
    <col min="10" max="10" width="32.1640625" style="11" bestFit="1" customWidth="1"/>
    <col min="11" max="11" width="8.83203125" style="11"/>
    <col min="12" max="12" width="2.83203125" style="11" customWidth="1"/>
    <col min="13" max="13" width="37.6640625" style="11" bestFit="1" customWidth="1"/>
    <col min="14" max="15" width="8.83203125" style="11"/>
    <col min="16" max="16" width="24" style="11" bestFit="1" customWidth="1"/>
    <col min="17" max="18" width="8.83203125" style="11"/>
    <col min="19" max="19" width="37.5" style="11" customWidth="1"/>
    <col min="20" max="21" width="8.83203125" style="11"/>
    <col min="22" max="22" width="13.33203125" style="11" bestFit="1" customWidth="1"/>
    <col min="23" max="23" width="11.1640625" style="11" customWidth="1"/>
    <col min="24" max="24" width="22.5" style="11" bestFit="1" customWidth="1"/>
    <col min="25" max="25" width="8.83203125" style="11"/>
    <col min="26" max="26" width="19.5" style="11" bestFit="1" customWidth="1"/>
    <col min="27" max="27" width="22.5" style="11" bestFit="1" customWidth="1"/>
    <col min="28" max="28" width="19.33203125" style="11" bestFit="1" customWidth="1"/>
    <col min="29" max="29" width="18.1640625" style="11" bestFit="1" customWidth="1"/>
    <col min="30" max="31" width="18.5" style="11" bestFit="1" customWidth="1"/>
    <col min="32" max="34" width="8.83203125" style="11"/>
    <col min="35" max="35" width="12.6640625" style="11" bestFit="1" customWidth="1"/>
    <col min="36" max="36" width="10.1640625" style="11" bestFit="1" customWidth="1"/>
    <col min="37" max="37" width="10.1640625" style="11" customWidth="1"/>
    <col min="38" max="38" width="16.33203125" style="11" bestFit="1" customWidth="1"/>
    <col min="39" max="39" width="29" style="11" bestFit="1" customWidth="1"/>
    <col min="40" max="40" width="19.1640625" style="11" bestFit="1" customWidth="1"/>
    <col min="41" max="16384" width="8.83203125" style="11"/>
  </cols>
  <sheetData>
    <row r="1" spans="1:40" x14ac:dyDescent="0.2">
      <c r="A1" s="190" t="s">
        <v>325</v>
      </c>
      <c r="B1" s="191"/>
      <c r="C1" s="191"/>
    </row>
    <row r="3" spans="1:40" x14ac:dyDescent="0.2">
      <c r="A3" s="10" t="s">
        <v>291</v>
      </c>
    </row>
    <row r="4" spans="1:40" x14ac:dyDescent="0.2">
      <c r="B4" s="11" t="s">
        <v>213</v>
      </c>
      <c r="C4" s="51" t="s">
        <v>92</v>
      </c>
    </row>
    <row r="5" spans="1:40" x14ac:dyDescent="0.2">
      <c r="B5" s="5" t="s">
        <v>211</v>
      </c>
      <c r="C5" s="51" t="s">
        <v>91</v>
      </c>
    </row>
    <row r="7" spans="1:40" x14ac:dyDescent="0.2">
      <c r="A7" s="195" t="s">
        <v>326</v>
      </c>
      <c r="B7" s="51"/>
    </row>
    <row r="8" spans="1:40" x14ac:dyDescent="0.2">
      <c r="A8" s="195"/>
      <c r="B8" s="51"/>
      <c r="J8" s="10"/>
    </row>
    <row r="9" spans="1:40" x14ac:dyDescent="0.2">
      <c r="N9" s="10"/>
      <c r="R9" s="36"/>
      <c r="S9" s="5"/>
      <c r="AH9" s="36"/>
      <c r="AI9" s="36"/>
      <c r="AJ9" s="5"/>
      <c r="AK9" s="5"/>
      <c r="AL9" s="5"/>
      <c r="AM9" s="10"/>
      <c r="AN9" s="37"/>
    </row>
    <row r="10" spans="1:40" ht="16" thickBot="1" x14ac:dyDescent="0.25">
      <c r="A10" s="10" t="s">
        <v>84</v>
      </c>
      <c r="H10" s="36"/>
      <c r="I10" s="5"/>
      <c r="J10" s="10" t="s">
        <v>88</v>
      </c>
      <c r="N10" s="10"/>
      <c r="R10" s="36"/>
      <c r="S10" s="5"/>
      <c r="T10" s="5"/>
      <c r="U10" s="36"/>
      <c r="V10" s="5"/>
      <c r="W10" s="5"/>
      <c r="X10" s="36"/>
      <c r="Y10" s="5"/>
      <c r="Z10" s="5"/>
      <c r="AA10" s="36"/>
      <c r="AB10" s="5"/>
      <c r="AC10" s="29"/>
      <c r="AH10" s="5"/>
      <c r="AI10" s="36"/>
      <c r="AJ10" s="5"/>
      <c r="AK10" s="5"/>
      <c r="AL10" s="5"/>
      <c r="AM10" s="10"/>
      <c r="AN10" s="37"/>
    </row>
    <row r="11" spans="1:40" x14ac:dyDescent="0.2">
      <c r="A11" s="43" t="s">
        <v>293</v>
      </c>
      <c r="B11" s="43" t="s">
        <v>80</v>
      </c>
      <c r="C11" s="33" t="s">
        <v>81</v>
      </c>
      <c r="D11" s="34" t="s">
        <v>295</v>
      </c>
      <c r="E11" s="192" t="s">
        <v>381</v>
      </c>
      <c r="I11" s="5"/>
      <c r="P11" s="198" t="s">
        <v>311</v>
      </c>
      <c r="R11" s="5"/>
      <c r="S11" s="198" t="s">
        <v>82</v>
      </c>
      <c r="T11" s="5"/>
      <c r="U11" s="5"/>
      <c r="V11" s="198" t="s">
        <v>90</v>
      </c>
      <c r="W11" s="5"/>
      <c r="X11" s="5"/>
      <c r="Y11" s="5"/>
      <c r="Z11" s="5"/>
      <c r="AA11" s="5"/>
      <c r="AB11" s="5"/>
      <c r="AH11" s="36"/>
      <c r="AI11" s="36"/>
      <c r="AJ11" s="36"/>
      <c r="AK11" s="36"/>
      <c r="AL11" s="36"/>
    </row>
    <row r="12" spans="1:40" ht="18" thickBot="1" x14ac:dyDescent="0.25">
      <c r="A12" s="61" t="s">
        <v>79</v>
      </c>
      <c r="B12" s="61" t="s">
        <v>76</v>
      </c>
      <c r="C12" s="53" t="s">
        <v>76</v>
      </c>
      <c r="D12" s="55" t="s">
        <v>294</v>
      </c>
      <c r="E12" s="203" t="s">
        <v>382</v>
      </c>
      <c r="G12" s="108" t="s">
        <v>87</v>
      </c>
      <c r="H12" s="50"/>
      <c r="I12" s="36"/>
      <c r="J12" s="198" t="s">
        <v>310</v>
      </c>
      <c r="N12" s="5"/>
      <c r="O12" s="197"/>
      <c r="R12" s="36"/>
      <c r="S12" s="197"/>
      <c r="T12" s="5"/>
      <c r="U12" s="36"/>
      <c r="V12" s="36"/>
      <c r="W12" s="5"/>
      <c r="X12" s="36"/>
      <c r="Y12" s="36"/>
      <c r="Z12" s="5"/>
      <c r="AA12" s="36"/>
      <c r="AB12" s="36"/>
      <c r="AC12" s="51"/>
      <c r="AH12" s="5"/>
      <c r="AI12" s="5"/>
      <c r="AJ12" s="5"/>
      <c r="AK12" s="5"/>
      <c r="AL12" s="5"/>
      <c r="AN12" s="29"/>
    </row>
    <row r="13" spans="1:40" ht="18" x14ac:dyDescent="0.25">
      <c r="A13" s="30">
        <v>0</v>
      </c>
      <c r="B13" s="168">
        <v>11.2402</v>
      </c>
      <c r="C13" s="168">
        <v>0.40260000000000001</v>
      </c>
      <c r="D13" s="56">
        <v>238000000</v>
      </c>
      <c r="E13" s="234">
        <f>H15+K16</f>
        <v>1.35</v>
      </c>
      <c r="F13" s="54"/>
      <c r="G13" s="200" t="s">
        <v>86</v>
      </c>
      <c r="H13" s="229">
        <v>0.42259999999999998</v>
      </c>
      <c r="I13" s="5"/>
      <c r="J13" s="196" t="s">
        <v>298</v>
      </c>
      <c r="K13" s="110"/>
      <c r="L13" s="110"/>
      <c r="M13" s="196" t="s">
        <v>306</v>
      </c>
      <c r="N13" s="199"/>
      <c r="O13" s="36"/>
      <c r="P13" s="196" t="s">
        <v>89</v>
      </c>
      <c r="Q13" s="196"/>
      <c r="R13" s="36"/>
      <c r="S13" s="196" t="s">
        <v>348</v>
      </c>
      <c r="T13" s="226">
        <f>Q18/N24</f>
        <v>1.1843420585918447</v>
      </c>
      <c r="U13" s="5"/>
      <c r="V13" s="192" t="s">
        <v>315</v>
      </c>
      <c r="W13" s="33" t="s">
        <v>321</v>
      </c>
      <c r="X13" s="33" t="s">
        <v>80</v>
      </c>
      <c r="Y13" s="33" t="s">
        <v>317</v>
      </c>
      <c r="Z13" s="34" t="s">
        <v>81</v>
      </c>
      <c r="AA13" s="205" t="s">
        <v>217</v>
      </c>
      <c r="AB13" s="206" t="s">
        <v>83</v>
      </c>
      <c r="AC13" s="33" t="s">
        <v>391</v>
      </c>
      <c r="AD13" s="34" t="s">
        <v>395</v>
      </c>
      <c r="AE13" s="37"/>
      <c r="AG13" s="5"/>
      <c r="AH13" s="5"/>
      <c r="AI13" s="5"/>
      <c r="AJ13" s="5"/>
      <c r="AK13" s="5"/>
      <c r="AL13" s="106"/>
      <c r="AM13" s="52"/>
    </row>
    <row r="14" spans="1:40" ht="18" thickBot="1" x14ac:dyDescent="0.3">
      <c r="A14" s="46">
        <v>3</v>
      </c>
      <c r="B14" s="169">
        <v>18.888500000000001</v>
      </c>
      <c r="C14" s="169">
        <v>2.2696999999999998</v>
      </c>
      <c r="D14" s="48">
        <v>109000000</v>
      </c>
      <c r="E14" s="235">
        <f>E13-$H$20</f>
        <v>1.3284</v>
      </c>
      <c r="F14" s="54"/>
      <c r="G14" s="200" t="s">
        <v>304</v>
      </c>
      <c r="H14" s="229">
        <v>354.94557501183152</v>
      </c>
      <c r="I14" s="5"/>
      <c r="J14" s="199"/>
      <c r="K14" s="199"/>
      <c r="L14" s="199"/>
      <c r="M14" s="199"/>
      <c r="N14" s="199"/>
      <c r="O14" s="5"/>
      <c r="P14" s="110"/>
      <c r="Q14" s="110"/>
      <c r="R14" s="5"/>
      <c r="S14" s="196" t="s">
        <v>374</v>
      </c>
      <c r="T14" s="226">
        <f>Q18/N22</f>
        <v>1.2490916729050299</v>
      </c>
      <c r="U14" s="5"/>
      <c r="V14" s="203" t="s">
        <v>79</v>
      </c>
      <c r="W14" s="53" t="s">
        <v>316</v>
      </c>
      <c r="X14" s="53" t="s">
        <v>78</v>
      </c>
      <c r="Y14" s="53" t="s">
        <v>318</v>
      </c>
      <c r="Z14" s="55" t="s">
        <v>319</v>
      </c>
      <c r="AA14" s="207" t="s">
        <v>323</v>
      </c>
      <c r="AB14" s="208" t="s">
        <v>322</v>
      </c>
      <c r="AC14" s="53"/>
      <c r="AD14" s="55"/>
      <c r="AE14" s="37"/>
      <c r="AG14" s="5"/>
      <c r="AH14" s="5"/>
      <c r="AI14" s="5"/>
      <c r="AJ14" s="5"/>
      <c r="AK14" s="5"/>
      <c r="AL14" s="106"/>
      <c r="AM14" s="52"/>
    </row>
    <row r="15" spans="1:40" ht="18" x14ac:dyDescent="0.25">
      <c r="A15" s="46">
        <v>6</v>
      </c>
      <c r="B15" s="169">
        <v>17.510999999999999</v>
      </c>
      <c r="C15" s="169">
        <v>7.5812999999999997</v>
      </c>
      <c r="D15" s="48">
        <v>144000000</v>
      </c>
      <c r="E15" s="235">
        <f t="shared" ref="E15:E24" si="0">E14-$H$20</f>
        <v>1.3068</v>
      </c>
      <c r="F15" s="54"/>
      <c r="G15" s="109" t="s">
        <v>305</v>
      </c>
      <c r="H15" s="229">
        <f>(1500-H14)/1000</f>
        <v>1.1450544249881685</v>
      </c>
      <c r="I15" s="5"/>
      <c r="J15" s="109" t="s">
        <v>302</v>
      </c>
      <c r="K15" s="199">
        <v>6.8</v>
      </c>
      <c r="L15" s="110"/>
      <c r="M15" s="200" t="s">
        <v>307</v>
      </c>
      <c r="N15" s="230">
        <f>B24*E24</f>
        <v>0.1624103999999999</v>
      </c>
      <c r="O15" s="5"/>
      <c r="P15" s="109" t="s">
        <v>312</v>
      </c>
      <c r="Q15" s="229">
        <f>C13*(E13)</f>
        <v>0.54351000000000005</v>
      </c>
      <c r="R15" s="5"/>
      <c r="S15" s="196" t="s">
        <v>375</v>
      </c>
      <c r="T15" s="226">
        <f>Q18/(H13*H14)</f>
        <v>0.28550750399999991</v>
      </c>
      <c r="V15" s="30">
        <f t="shared" ref="V15:V24" si="1">A13</f>
        <v>0</v>
      </c>
      <c r="W15" s="38">
        <v>1.35</v>
      </c>
      <c r="X15" s="168">
        <f t="shared" ref="X15:X24" si="2">B13*W15</f>
        <v>15.17427</v>
      </c>
      <c r="Y15" s="210">
        <f>D13*X26</f>
        <v>357000000000</v>
      </c>
      <c r="Z15" s="239">
        <f t="shared" ref="Z15:Z24" si="3">C13*W15</f>
        <v>0.54351000000000005</v>
      </c>
      <c r="AA15" s="62"/>
      <c r="AB15" s="45"/>
      <c r="AC15" s="292">
        <f>LN(Z15)</f>
        <v>-0.6097071733261078</v>
      </c>
      <c r="AD15" s="289">
        <f t="shared" ref="AD15:AD24" si="4">AVERAGE(AC15,AC45)</f>
        <v>-0.69098124919990678</v>
      </c>
      <c r="AG15" s="5"/>
      <c r="AH15" s="5"/>
      <c r="AI15" s="5"/>
      <c r="AJ15" s="5"/>
      <c r="AK15" s="5"/>
      <c r="AL15" s="106"/>
      <c r="AM15" s="52"/>
    </row>
    <row r="16" spans="1:40" ht="18" x14ac:dyDescent="0.25">
      <c r="A16" s="46">
        <v>9</v>
      </c>
      <c r="B16" s="169">
        <v>13.432499999999999</v>
      </c>
      <c r="C16" s="169">
        <v>13.366199999999999</v>
      </c>
      <c r="D16" s="48">
        <v>215000000</v>
      </c>
      <c r="E16" s="235">
        <f t="shared" si="0"/>
        <v>1.2851999999999999</v>
      </c>
      <c r="F16" s="54"/>
      <c r="G16" s="108" t="s">
        <v>94</v>
      </c>
      <c r="H16" s="50">
        <f>H14+H15*1000</f>
        <v>1500</v>
      </c>
      <c r="J16" s="109" t="s">
        <v>301</v>
      </c>
      <c r="K16" s="229">
        <f>(1-H13)*H14/1000</f>
        <v>0.20494557501183153</v>
      </c>
      <c r="L16" s="110"/>
      <c r="M16" s="110"/>
      <c r="N16" s="199"/>
      <c r="O16" s="5"/>
      <c r="P16" s="109" t="s">
        <v>313</v>
      </c>
      <c r="Q16" s="229">
        <f>C24*(E24)</f>
        <v>38.64922559999998</v>
      </c>
      <c r="S16" s="36"/>
      <c r="T16" s="5"/>
      <c r="V16" s="46">
        <f t="shared" si="1"/>
        <v>3</v>
      </c>
      <c r="W16" s="169">
        <v>1.3284</v>
      </c>
      <c r="X16" s="169">
        <f t="shared" si="2"/>
        <v>25.091483400000001</v>
      </c>
      <c r="Y16" s="54">
        <f>D14*(X26-COUNT($V$15:V15)*0.024*1000)</f>
        <v>160884000000</v>
      </c>
      <c r="Z16" s="240">
        <f t="shared" si="3"/>
        <v>3.0150694799999997</v>
      </c>
      <c r="AA16" s="243">
        <f t="shared" ref="AA16:AA23" si="5">((A14-A13)/(A15-A13)*(C15-C14)/(A15-A14))+((C14-C13)/(A14-A13)*(A15-A14)/(A15-A13))</f>
        <v>1.19645</v>
      </c>
      <c r="AB16" s="211">
        <f>(AA16*0.9/1000)/D14</f>
        <v>9.8789449541284398E-12</v>
      </c>
      <c r="AC16" s="292">
        <f t="shared" ref="AC16:AC24" si="6">LN(Z16)</f>
        <v>1.1036228746897414</v>
      </c>
      <c r="AD16" s="289">
        <f t="shared" si="4"/>
        <v>0.85207955860617679</v>
      </c>
      <c r="AG16" s="5"/>
      <c r="AH16" s="5"/>
      <c r="AI16" s="5"/>
      <c r="AJ16" s="5"/>
      <c r="AK16" s="5"/>
      <c r="AL16" s="106"/>
      <c r="AM16" s="52"/>
    </row>
    <row r="17" spans="1:40" ht="17" x14ac:dyDescent="0.2">
      <c r="A17" s="46">
        <v>12</v>
      </c>
      <c r="B17" s="169">
        <v>10.129899999999999</v>
      </c>
      <c r="C17" s="169">
        <v>19.142700000000001</v>
      </c>
      <c r="D17" s="48">
        <v>355000000</v>
      </c>
      <c r="E17" s="235">
        <f t="shared" si="0"/>
        <v>1.2635999999999998</v>
      </c>
      <c r="F17" s="54"/>
      <c r="J17" s="199"/>
      <c r="K17" s="199"/>
      <c r="L17" s="110"/>
      <c r="M17" s="110"/>
      <c r="N17" s="200"/>
      <c r="O17" s="5"/>
      <c r="P17" s="110"/>
      <c r="Q17" s="110"/>
      <c r="R17" s="36"/>
      <c r="S17" s="5"/>
      <c r="T17" s="197"/>
      <c r="V17" s="46">
        <f t="shared" si="1"/>
        <v>6</v>
      </c>
      <c r="W17" s="169">
        <v>1.3068</v>
      </c>
      <c r="X17" s="169">
        <f t="shared" si="2"/>
        <v>22.883374799999999</v>
      </c>
      <c r="Y17" s="54">
        <f>D15*(X26-COUNT($V$15:V16)*0.024*1000)</f>
        <v>209088000000</v>
      </c>
      <c r="Z17" s="240">
        <f t="shared" si="3"/>
        <v>9.9072428399999986</v>
      </c>
      <c r="AA17" s="243">
        <f t="shared" si="5"/>
        <v>1.8494166666666667</v>
      </c>
      <c r="AB17" s="211">
        <f t="shared" ref="AB17:AB23" si="7">(AA17*0.9/1000)/D15</f>
        <v>1.1558854166666668E-11</v>
      </c>
      <c r="AC17" s="292">
        <f t="shared" si="6"/>
        <v>2.2932660896517194</v>
      </c>
      <c r="AD17" s="289">
        <f t="shared" si="4"/>
        <v>2.058800834272577</v>
      </c>
      <c r="AG17" s="5"/>
      <c r="AH17" s="5"/>
      <c r="AI17" s="5"/>
      <c r="AJ17" s="5"/>
      <c r="AK17" s="5"/>
      <c r="AL17" s="106"/>
      <c r="AM17" s="52"/>
    </row>
    <row r="18" spans="1:40" ht="18" x14ac:dyDescent="0.25">
      <c r="A18" s="46">
        <v>15</v>
      </c>
      <c r="B18" s="169">
        <v>7.3010999999999999</v>
      </c>
      <c r="C18" s="169">
        <v>22.628900000000002</v>
      </c>
      <c r="D18" s="48">
        <v>430000000</v>
      </c>
      <c r="E18" s="235">
        <f t="shared" si="0"/>
        <v>1.2419999999999998</v>
      </c>
      <c r="F18" s="54"/>
      <c r="G18" s="108" t="s">
        <v>309</v>
      </c>
      <c r="H18" s="50"/>
      <c r="J18" s="109" t="s">
        <v>303</v>
      </c>
      <c r="K18" s="229">
        <f>(10*243.364/1000+K15*K16)/(E13)</f>
        <v>2.8350147482077439</v>
      </c>
      <c r="L18" s="110"/>
      <c r="M18" s="196" t="s">
        <v>327</v>
      </c>
      <c r="N18" s="200"/>
      <c r="O18" s="36"/>
      <c r="P18" s="196" t="s">
        <v>314</v>
      </c>
      <c r="Q18" s="233">
        <f>Q16-Q15+H22</f>
        <v>42.826125599999983</v>
      </c>
      <c r="R18" s="5"/>
      <c r="S18" s="36"/>
      <c r="T18" s="5"/>
      <c r="U18" s="5"/>
      <c r="V18" s="46">
        <f t="shared" si="1"/>
        <v>9</v>
      </c>
      <c r="W18" s="169">
        <v>1.2851999999999999</v>
      </c>
      <c r="X18" s="169">
        <f t="shared" si="2"/>
        <v>17.263448999999998</v>
      </c>
      <c r="Y18" s="54">
        <f>D16*(X26-COUNT($V$15:V17)*0.024*1000)</f>
        <v>307020000000</v>
      </c>
      <c r="Z18" s="240">
        <f t="shared" si="3"/>
        <v>17.178240239999997</v>
      </c>
      <c r="AA18" s="243">
        <f t="shared" si="5"/>
        <v>1.9269000000000003</v>
      </c>
      <c r="AB18" s="211">
        <f t="shared" si="7"/>
        <v>8.0660930232558155E-12</v>
      </c>
      <c r="AC18" s="292">
        <f t="shared" si="6"/>
        <v>2.8436434805763122</v>
      </c>
      <c r="AD18" s="289">
        <f t="shared" si="4"/>
        <v>2.7433363957098349</v>
      </c>
      <c r="AG18" s="5"/>
      <c r="AH18" s="5"/>
      <c r="AI18" s="5"/>
      <c r="AJ18" s="5"/>
      <c r="AK18" s="5"/>
      <c r="AL18" s="106"/>
      <c r="AM18" s="52"/>
    </row>
    <row r="19" spans="1:40" ht="18" x14ac:dyDescent="0.25">
      <c r="A19" s="46">
        <v>21</v>
      </c>
      <c r="B19" s="169">
        <v>3.0653000000000001</v>
      </c>
      <c r="C19" s="169">
        <v>27.142800000000001</v>
      </c>
      <c r="D19" s="48">
        <v>243000000</v>
      </c>
      <c r="E19" s="235">
        <f t="shared" si="0"/>
        <v>1.2203999999999997</v>
      </c>
      <c r="F19" s="54"/>
      <c r="G19" s="199" t="s">
        <v>95</v>
      </c>
      <c r="H19" s="199">
        <f>COUNT(A13:A22)</f>
        <v>10</v>
      </c>
      <c r="J19" s="109" t="s">
        <v>300</v>
      </c>
      <c r="K19" s="230">
        <f>10*243.364/1000+K15*K16</f>
        <v>3.8272699100804544</v>
      </c>
      <c r="L19" s="110"/>
      <c r="M19" s="110"/>
      <c r="N19" s="199"/>
      <c r="O19" s="5"/>
      <c r="R19" s="5"/>
      <c r="S19" s="197"/>
      <c r="T19" s="5"/>
      <c r="U19" s="5"/>
      <c r="V19" s="46">
        <f t="shared" si="1"/>
        <v>12</v>
      </c>
      <c r="W19" s="169">
        <v>1.2635999999999998</v>
      </c>
      <c r="X19" s="169">
        <f t="shared" si="2"/>
        <v>12.800141639999998</v>
      </c>
      <c r="Y19" s="54">
        <f>D17*(X26-COUNT($V$15:V18)*0.024*1000)</f>
        <v>498420000000</v>
      </c>
      <c r="Z19" s="240">
        <f t="shared" si="3"/>
        <v>24.188715719999998</v>
      </c>
      <c r="AA19" s="243">
        <f t="shared" si="5"/>
        <v>1.5437833333333337</v>
      </c>
      <c r="AB19" s="211">
        <f t="shared" si="7"/>
        <v>3.9138169014084517E-12</v>
      </c>
      <c r="AC19" s="292">
        <f t="shared" si="6"/>
        <v>3.1858862318524737</v>
      </c>
      <c r="AD19" s="289">
        <f t="shared" si="4"/>
        <v>3.1052840882671235</v>
      </c>
      <c r="AG19" s="5"/>
      <c r="AH19" s="5"/>
      <c r="AI19" s="5"/>
      <c r="AJ19" s="5"/>
      <c r="AK19" s="5"/>
      <c r="AL19" s="106"/>
      <c r="AM19" s="52"/>
    </row>
    <row r="20" spans="1:40" x14ac:dyDescent="0.2">
      <c r="A20" s="46">
        <v>24</v>
      </c>
      <c r="B20" s="169">
        <v>0</v>
      </c>
      <c r="C20" s="169">
        <v>30.0199</v>
      </c>
      <c r="D20" s="48">
        <v>617000000</v>
      </c>
      <c r="E20" s="235">
        <f t="shared" si="0"/>
        <v>1.1987999999999996</v>
      </c>
      <c r="F20" s="54"/>
      <c r="G20" s="199" t="s">
        <v>96</v>
      </c>
      <c r="H20" s="199">
        <f>0.024*0.9</f>
        <v>2.1600000000000001E-2</v>
      </c>
      <c r="I20" s="5"/>
      <c r="J20" s="110"/>
      <c r="K20" s="110"/>
      <c r="L20" s="110"/>
      <c r="M20" s="200" t="s">
        <v>328</v>
      </c>
      <c r="N20" s="229">
        <f>AVERAGE('4 Amount of released glucose'!D10:D18)*'6 No pre-adapt. X=10mg'!H13*'6 No pre-adapt. X=10mg'!H14</f>
        <v>87.296317767830757</v>
      </c>
      <c r="O20" s="5"/>
      <c r="R20" s="36"/>
      <c r="S20" s="36"/>
      <c r="T20" s="36"/>
      <c r="U20" s="36"/>
      <c r="V20" s="46">
        <f t="shared" si="1"/>
        <v>15</v>
      </c>
      <c r="W20" s="169">
        <v>1.2419999999999998</v>
      </c>
      <c r="X20" s="169">
        <f t="shared" si="2"/>
        <v>9.067966199999999</v>
      </c>
      <c r="Y20" s="54">
        <f>D18*(X26-COUNT($V$15:V19)*0.024*1000)</f>
        <v>593400000000</v>
      </c>
      <c r="Z20" s="240">
        <f t="shared" si="3"/>
        <v>28.105093799999995</v>
      </c>
      <c r="AA20" s="243">
        <f t="shared" si="5"/>
        <v>1.0254833333333333</v>
      </c>
      <c r="AB20" s="211">
        <f t="shared" si="7"/>
        <v>2.146360465116279E-12</v>
      </c>
      <c r="AC20" s="292">
        <f t="shared" si="6"/>
        <v>3.3359508339329023</v>
      </c>
      <c r="AD20" s="289">
        <f t="shared" si="4"/>
        <v>3.2596250787970433</v>
      </c>
      <c r="AG20" s="5"/>
      <c r="AH20" s="5"/>
      <c r="AI20" s="5"/>
      <c r="AJ20" s="5"/>
      <c r="AK20" s="5"/>
      <c r="AL20" s="106"/>
      <c r="AM20" s="52"/>
    </row>
    <row r="21" spans="1:40" ht="18" x14ac:dyDescent="0.25">
      <c r="A21" s="46">
        <v>27</v>
      </c>
      <c r="B21" s="169">
        <v>0.90739999999999998</v>
      </c>
      <c r="C21" s="169">
        <v>31.732600000000001</v>
      </c>
      <c r="D21" s="48">
        <v>144000000</v>
      </c>
      <c r="E21" s="235">
        <f t="shared" si="0"/>
        <v>1.1771999999999996</v>
      </c>
      <c r="F21" s="54"/>
      <c r="G21" s="200" t="s">
        <v>97</v>
      </c>
      <c r="H21" s="230">
        <f>H20*(SUM(B13:B23))</f>
        <v>1.7904067200000002</v>
      </c>
      <c r="I21" s="5"/>
      <c r="J21" s="110"/>
      <c r="K21" s="110"/>
      <c r="L21" s="110"/>
      <c r="M21" s="200" t="s">
        <v>329</v>
      </c>
      <c r="N21" s="229">
        <f>AVERAGE('4 Amount of released glucose'!D37:D41,'4 Amount of released glucose'!D44:D45)*H13*H14</f>
        <v>53.010503100282243</v>
      </c>
      <c r="O21" s="197"/>
      <c r="R21" s="36"/>
      <c r="S21" s="5"/>
      <c r="T21" s="5"/>
      <c r="U21" s="5"/>
      <c r="V21" s="46">
        <f t="shared" si="1"/>
        <v>21</v>
      </c>
      <c r="W21" s="169">
        <v>1.2203999999999997</v>
      </c>
      <c r="X21" s="169">
        <f t="shared" si="2"/>
        <v>3.7408921199999994</v>
      </c>
      <c r="Y21" s="54">
        <f>D19*(X26-COUNT($V$15:V20)*0.024*1000)</f>
        <v>329508000000</v>
      </c>
      <c r="Z21" s="240">
        <f t="shared" si="3"/>
        <v>33.125073119999996</v>
      </c>
      <c r="AA21" s="243">
        <f t="shared" si="5"/>
        <v>0.89012777777777741</v>
      </c>
      <c r="AB21" s="211">
        <f t="shared" si="7"/>
        <v>3.2967695473251015E-12</v>
      </c>
      <c r="AC21" s="292">
        <f t="shared" si="6"/>
        <v>3.5002904917001763</v>
      </c>
      <c r="AD21" s="289">
        <f t="shared" si="4"/>
        <v>3.4596882291414195</v>
      </c>
      <c r="AG21" s="5"/>
      <c r="AH21" s="5"/>
      <c r="AI21" s="5"/>
      <c r="AJ21" s="5"/>
      <c r="AK21" s="5"/>
      <c r="AM21" s="52"/>
    </row>
    <row r="22" spans="1:40" x14ac:dyDescent="0.2">
      <c r="A22" s="251">
        <v>30</v>
      </c>
      <c r="B22" s="253">
        <v>0.26850000000000002</v>
      </c>
      <c r="C22" s="253">
        <v>32.854900000000001</v>
      </c>
      <c r="D22" s="258">
        <v>145000000</v>
      </c>
      <c r="E22" s="259">
        <f t="shared" si="0"/>
        <v>1.1555999999999995</v>
      </c>
      <c r="F22" s="54"/>
      <c r="G22" s="200" t="s">
        <v>98</v>
      </c>
      <c r="H22" s="230">
        <f>H20*(SUM(C13:C23))</f>
        <v>4.7204100000000002</v>
      </c>
      <c r="I22" s="5"/>
      <c r="J22" s="110"/>
      <c r="K22" s="110"/>
      <c r="L22" s="110"/>
      <c r="M22" s="200" t="s">
        <v>330</v>
      </c>
      <c r="N22" s="230">
        <f>N20-N21</f>
        <v>34.285814667548514</v>
      </c>
      <c r="O22" s="36"/>
      <c r="S22" s="36"/>
      <c r="T22" s="5"/>
      <c r="U22" s="5"/>
      <c r="V22" s="46">
        <f t="shared" si="1"/>
        <v>24</v>
      </c>
      <c r="W22" s="169">
        <v>1.1987999999999996</v>
      </c>
      <c r="X22" s="169">
        <f t="shared" si="2"/>
        <v>0</v>
      </c>
      <c r="Y22" s="54">
        <f>D20*(X26-COUNT($V$15:V21)*0.024*1000)</f>
        <v>821844000000</v>
      </c>
      <c r="Z22" s="240">
        <f t="shared" si="3"/>
        <v>35.987856119999989</v>
      </c>
      <c r="AA22" s="243">
        <f t="shared" si="5"/>
        <v>0.76496666666666668</v>
      </c>
      <c r="AB22" s="211">
        <f t="shared" si="7"/>
        <v>1.1158346839546193E-12</v>
      </c>
      <c r="AC22" s="292">
        <f t="shared" si="6"/>
        <v>3.5831815515475469</v>
      </c>
      <c r="AD22" s="289">
        <f t="shared" si="4"/>
        <v>3.5287436310861651</v>
      </c>
      <c r="AG22" s="5"/>
      <c r="AH22" s="5"/>
      <c r="AI22" s="5"/>
      <c r="AJ22" s="5"/>
      <c r="AK22" s="5"/>
      <c r="AM22" s="52"/>
    </row>
    <row r="23" spans="1:40" x14ac:dyDescent="0.2">
      <c r="A23" s="46">
        <v>33</v>
      </c>
      <c r="B23" s="169">
        <v>0.14480000000000001</v>
      </c>
      <c r="C23" s="169">
        <v>31.395900000000001</v>
      </c>
      <c r="D23" s="5"/>
      <c r="E23" s="235">
        <f t="shared" si="0"/>
        <v>1.1339999999999995</v>
      </c>
      <c r="H23" s="5"/>
      <c r="I23" s="5"/>
      <c r="J23" s="110"/>
      <c r="K23" s="110"/>
      <c r="L23" s="110"/>
      <c r="M23" s="110"/>
      <c r="N23" s="199"/>
      <c r="O23" s="5"/>
      <c r="S23" s="36"/>
      <c r="T23" s="5"/>
      <c r="U23" s="5"/>
      <c r="V23" s="46">
        <f t="shared" si="1"/>
        <v>27</v>
      </c>
      <c r="W23" s="169">
        <v>1.1771999999999996</v>
      </c>
      <c r="X23" s="169">
        <f t="shared" si="2"/>
        <v>1.0681912799999995</v>
      </c>
      <c r="Y23" s="54">
        <f>D21*(X26-COUNT($V$15:V22)*0.024*1000)</f>
        <v>188352000000</v>
      </c>
      <c r="Z23" s="240">
        <f t="shared" si="3"/>
        <v>37.355616719999986</v>
      </c>
      <c r="AA23" s="243">
        <f t="shared" si="5"/>
        <v>0.47250000000000014</v>
      </c>
      <c r="AB23" s="211">
        <f t="shared" si="7"/>
        <v>2.9531250000000007E-12</v>
      </c>
      <c r="AC23" s="292">
        <f t="shared" si="6"/>
        <v>3.62048328099567</v>
      </c>
      <c r="AD23" s="289">
        <f t="shared" si="4"/>
        <v>3.5597954315567559</v>
      </c>
      <c r="AG23" s="5"/>
      <c r="AH23" s="5"/>
      <c r="AI23" s="5"/>
      <c r="AJ23" s="5"/>
      <c r="AK23" s="5"/>
      <c r="AM23" s="52"/>
    </row>
    <row r="24" spans="1:40" ht="16" thickBot="1" x14ac:dyDescent="0.25">
      <c r="A24" s="31">
        <v>48</v>
      </c>
      <c r="B24" s="238">
        <v>0.14599999999999999</v>
      </c>
      <c r="C24" s="238">
        <v>34.744</v>
      </c>
      <c r="D24" s="8"/>
      <c r="E24" s="236">
        <f t="shared" si="0"/>
        <v>1.1123999999999994</v>
      </c>
      <c r="H24" s="36"/>
      <c r="I24" s="36"/>
      <c r="J24" s="110"/>
      <c r="K24" s="110"/>
      <c r="L24" s="110"/>
      <c r="M24" s="196" t="s">
        <v>347</v>
      </c>
      <c r="N24" s="233">
        <f>N22+K19-H21-N15</f>
        <v>36.160267457628969</v>
      </c>
      <c r="O24" s="5"/>
      <c r="S24" s="5"/>
      <c r="T24" s="5"/>
      <c r="U24" s="5"/>
      <c r="V24" s="260">
        <f t="shared" si="1"/>
        <v>30</v>
      </c>
      <c r="W24" s="261">
        <v>1.1555999999999995</v>
      </c>
      <c r="X24" s="261">
        <f t="shared" si="2"/>
        <v>0.3102785999999999</v>
      </c>
      <c r="Y24" s="262">
        <f>D22*(X26-COUNT($V$15:V23)*0.024*1000)</f>
        <v>186180000000</v>
      </c>
      <c r="Z24" s="263">
        <f t="shared" si="3"/>
        <v>37.967122439999983</v>
      </c>
      <c r="AA24" s="267"/>
      <c r="AB24" s="268"/>
      <c r="AC24" s="299">
        <f t="shared" si="6"/>
        <v>3.6367205862783805</v>
      </c>
      <c r="AD24" s="298">
        <f t="shared" si="4"/>
        <v>3.5879595683577303</v>
      </c>
    </row>
    <row r="25" spans="1:40" ht="16" thickBot="1" x14ac:dyDescent="0.25">
      <c r="H25" s="36"/>
      <c r="I25" s="36"/>
      <c r="N25" s="5"/>
      <c r="O25" s="5"/>
      <c r="S25" s="36"/>
      <c r="T25" s="5"/>
      <c r="U25" s="5"/>
      <c r="AA25" s="205"/>
      <c r="AB25" s="206"/>
      <c r="AL25" s="51"/>
      <c r="AM25" s="107"/>
      <c r="AN25" s="58"/>
    </row>
    <row r="26" spans="1:40" ht="18" thickBot="1" x14ac:dyDescent="0.25">
      <c r="A26" s="11" t="s">
        <v>296</v>
      </c>
      <c r="D26" s="222"/>
      <c r="H26" s="5"/>
      <c r="I26" s="5"/>
      <c r="S26" s="5"/>
      <c r="T26" s="36"/>
      <c r="U26" s="36"/>
      <c r="V26" s="44" t="s">
        <v>94</v>
      </c>
      <c r="W26" s="59"/>
      <c r="X26" s="60">
        <f>H15*1000+H14</f>
        <v>1500</v>
      </c>
      <c r="Z26" s="10" t="s">
        <v>93</v>
      </c>
      <c r="AA26" s="301">
        <f>MAX(AA16:AA23)</f>
        <v>1.9269000000000003</v>
      </c>
      <c r="AB26" s="302">
        <f>MAX(AB16:AB23)</f>
        <v>1.1558854166666668E-11</v>
      </c>
      <c r="AL26" s="51"/>
      <c r="AM26" s="107"/>
      <c r="AN26" s="58"/>
    </row>
    <row r="27" spans="1:40" ht="18" thickBot="1" x14ac:dyDescent="0.25">
      <c r="A27" s="49" t="s">
        <v>297</v>
      </c>
      <c r="S27" s="5"/>
      <c r="T27" s="5"/>
      <c r="U27" s="5"/>
      <c r="Z27" s="10" t="s">
        <v>99</v>
      </c>
      <c r="AA27" s="303">
        <f>(C20-C13)/A20</f>
        <v>1.2340541666666667</v>
      </c>
      <c r="AB27" s="304">
        <f>AVERAGE(AB16:AB23)</f>
        <v>5.3662248427319203E-12</v>
      </c>
    </row>
    <row r="28" spans="1:40" ht="17" x14ac:dyDescent="0.2">
      <c r="A28" s="49" t="s">
        <v>299</v>
      </c>
      <c r="B28" s="10"/>
      <c r="J28" s="10"/>
    </row>
    <row r="29" spans="1:40" ht="17" x14ac:dyDescent="0.2">
      <c r="A29" s="49" t="s">
        <v>385</v>
      </c>
      <c r="AG29" s="10"/>
    </row>
    <row r="30" spans="1:40" ht="17" x14ac:dyDescent="0.2">
      <c r="A30" s="49" t="s">
        <v>308</v>
      </c>
    </row>
    <row r="31" spans="1:40" ht="17" x14ac:dyDescent="0.2">
      <c r="A31" s="49" t="s">
        <v>320</v>
      </c>
    </row>
    <row r="33" spans="1:40" x14ac:dyDescent="0.2">
      <c r="T33" s="225"/>
      <c r="U33" s="225"/>
      <c r="AA33" s="313"/>
      <c r="AB33" s="313"/>
      <c r="AC33" s="283"/>
    </row>
    <row r="34" spans="1:40" x14ac:dyDescent="0.2">
      <c r="T34" s="221"/>
      <c r="U34" s="221"/>
      <c r="AA34" s="221"/>
      <c r="AB34" s="223"/>
      <c r="AC34" s="223"/>
    </row>
    <row r="35" spans="1:40" x14ac:dyDescent="0.2">
      <c r="AA35" s="221"/>
      <c r="AB35" s="222"/>
      <c r="AC35" s="223"/>
    </row>
    <row r="37" spans="1:40" x14ac:dyDescent="0.2">
      <c r="A37" s="51" t="s">
        <v>331</v>
      </c>
    </row>
    <row r="40" spans="1:40" ht="22" thickBot="1" x14ac:dyDescent="0.3">
      <c r="A40" s="10" t="s">
        <v>84</v>
      </c>
      <c r="J40" s="10" t="s">
        <v>88</v>
      </c>
      <c r="AD40" s="57"/>
    </row>
    <row r="41" spans="1:40" ht="21" x14ac:dyDescent="0.25">
      <c r="A41" s="43" t="s">
        <v>293</v>
      </c>
      <c r="B41" s="43" t="s">
        <v>80</v>
      </c>
      <c r="C41" s="33" t="s">
        <v>81</v>
      </c>
      <c r="D41" s="34" t="s">
        <v>295</v>
      </c>
      <c r="E41" s="192" t="s">
        <v>381</v>
      </c>
      <c r="P41" s="198" t="s">
        <v>311</v>
      </c>
      <c r="S41" s="198" t="s">
        <v>82</v>
      </c>
      <c r="V41" s="198" t="s">
        <v>90</v>
      </c>
      <c r="W41" s="5"/>
      <c r="X41" s="5"/>
      <c r="Y41" s="5"/>
      <c r="Z41" s="5"/>
      <c r="AA41" s="5"/>
      <c r="AB41" s="5"/>
      <c r="AD41" s="57"/>
    </row>
    <row r="42" spans="1:40" ht="16" thickBot="1" x14ac:dyDescent="0.25">
      <c r="A42" s="61" t="s">
        <v>79</v>
      </c>
      <c r="B42" s="61" t="s">
        <v>76</v>
      </c>
      <c r="C42" s="53" t="s">
        <v>76</v>
      </c>
      <c r="D42" s="55" t="s">
        <v>294</v>
      </c>
      <c r="E42" s="203" t="s">
        <v>382</v>
      </c>
      <c r="G42" s="108" t="s">
        <v>87</v>
      </c>
      <c r="H42" s="50"/>
      <c r="J42" s="198" t="s">
        <v>310</v>
      </c>
      <c r="V42" s="36"/>
      <c r="W42" s="5"/>
      <c r="X42" s="36"/>
      <c r="Y42" s="36"/>
      <c r="Z42" s="5"/>
      <c r="AA42" s="36"/>
      <c r="AB42" s="36"/>
    </row>
    <row r="43" spans="1:40" ht="18" x14ac:dyDescent="0.25">
      <c r="A43" s="62">
        <v>0</v>
      </c>
      <c r="B43" s="249">
        <v>11.8188</v>
      </c>
      <c r="C43" s="168">
        <v>0.3422</v>
      </c>
      <c r="D43" s="56">
        <f>AVERAGE(283,326)/10^(-5)/0.1</f>
        <v>304499999.99999994</v>
      </c>
      <c r="E43" s="234">
        <f>H45+K46</f>
        <v>1.35</v>
      </c>
      <c r="G43" s="200" t="s">
        <v>86</v>
      </c>
      <c r="H43" s="229">
        <v>0.42259999999999998</v>
      </c>
      <c r="J43" s="196" t="s">
        <v>298</v>
      </c>
      <c r="K43" s="110"/>
      <c r="L43" s="110"/>
      <c r="M43" s="196" t="s">
        <v>306</v>
      </c>
      <c r="N43" s="110"/>
      <c r="P43" s="196" t="s">
        <v>89</v>
      </c>
      <c r="Q43" s="196"/>
      <c r="S43" s="196" t="s">
        <v>348</v>
      </c>
      <c r="T43" s="226">
        <f>Q48/N54</f>
        <v>1.2795989453136567</v>
      </c>
      <c r="V43" s="192" t="s">
        <v>315</v>
      </c>
      <c r="W43" s="33" t="s">
        <v>321</v>
      </c>
      <c r="X43" s="33" t="s">
        <v>80</v>
      </c>
      <c r="Y43" s="33" t="s">
        <v>317</v>
      </c>
      <c r="Z43" s="34" t="s">
        <v>81</v>
      </c>
      <c r="AA43" s="205" t="s">
        <v>217</v>
      </c>
      <c r="AB43" s="206" t="s">
        <v>83</v>
      </c>
      <c r="AC43" s="34" t="s">
        <v>392</v>
      </c>
    </row>
    <row r="44" spans="1:40" ht="18" thickBot="1" x14ac:dyDescent="0.3">
      <c r="A44" s="32">
        <v>3</v>
      </c>
      <c r="B44" s="245">
        <v>18.2072</v>
      </c>
      <c r="C44" s="169">
        <v>1.3724000000000001</v>
      </c>
      <c r="D44" s="48">
        <f>AVERAGE(141,127)/10^(-5)/0.1</f>
        <v>133999999.99999997</v>
      </c>
      <c r="E44" s="235">
        <f>E43-$H$50</f>
        <v>1.3284</v>
      </c>
      <c r="G44" s="200" t="s">
        <v>304</v>
      </c>
      <c r="H44" s="229">
        <v>354.94557501183152</v>
      </c>
      <c r="J44" s="199"/>
      <c r="K44" s="199"/>
      <c r="L44" s="110"/>
      <c r="M44" s="199"/>
      <c r="N44" s="110"/>
      <c r="P44" s="110"/>
      <c r="Q44" s="110"/>
      <c r="S44" s="196" t="s">
        <v>374</v>
      </c>
      <c r="T44" s="226">
        <f>Q48/N52</f>
        <v>1.2300950332666849</v>
      </c>
      <c r="V44" s="203" t="s">
        <v>79</v>
      </c>
      <c r="W44" s="53" t="s">
        <v>316</v>
      </c>
      <c r="X44" s="53" t="s">
        <v>78</v>
      </c>
      <c r="Y44" s="53" t="s">
        <v>318</v>
      </c>
      <c r="Z44" s="55" t="s">
        <v>319</v>
      </c>
      <c r="AA44" s="207" t="s">
        <v>323</v>
      </c>
      <c r="AB44" s="208" t="s">
        <v>322</v>
      </c>
      <c r="AC44" s="55"/>
    </row>
    <row r="45" spans="1:40" ht="18" x14ac:dyDescent="0.25">
      <c r="A45" s="32">
        <v>6</v>
      </c>
      <c r="B45" s="245">
        <v>20.287500000000001</v>
      </c>
      <c r="C45" s="169">
        <v>4.7434000000000003</v>
      </c>
      <c r="D45" s="48">
        <f>AVERAGE(106,130)/10^(-5)/0.1</f>
        <v>117999999.99999997</v>
      </c>
      <c r="E45" s="235">
        <f t="shared" ref="E45:E55" si="8">E44-$H$50</f>
        <v>1.3068</v>
      </c>
      <c r="F45" s="5"/>
      <c r="G45" s="109" t="s">
        <v>305</v>
      </c>
      <c r="H45" s="229">
        <f>(1500-H44)/1000</f>
        <v>1.1450544249881685</v>
      </c>
      <c r="J45" s="109" t="s">
        <v>302</v>
      </c>
      <c r="K45" s="199">
        <v>6.8</v>
      </c>
      <c r="L45" s="110"/>
      <c r="M45" s="200" t="s">
        <v>307</v>
      </c>
      <c r="N45" s="230">
        <f>B55*E55</f>
        <v>0.21030623999999987</v>
      </c>
      <c r="P45" s="109" t="s">
        <v>312</v>
      </c>
      <c r="Q45" s="229">
        <f>C43*(E43)</f>
        <v>0.46197000000000005</v>
      </c>
      <c r="S45" s="196" t="s">
        <v>375</v>
      </c>
      <c r="T45" s="226">
        <f>Q48/(H43*H44)</f>
        <v>0.26078353199999987</v>
      </c>
      <c r="V45" s="30">
        <f t="shared" ref="V45:V54" si="9">A43</f>
        <v>0</v>
      </c>
      <c r="W45" s="62">
        <v>1.35</v>
      </c>
      <c r="X45" s="168">
        <f t="shared" ref="X45:X54" si="10">B43*W45</f>
        <v>15.95538</v>
      </c>
      <c r="Y45" s="210">
        <f>D43*X56</f>
        <v>456749999999.99994</v>
      </c>
      <c r="Z45" s="239">
        <f t="shared" ref="Z45:Z54" si="11">C43*W45</f>
        <v>0.46197000000000005</v>
      </c>
      <c r="AA45" s="62"/>
      <c r="AB45" s="45"/>
      <c r="AC45" s="239">
        <f t="shared" ref="AC45:AC54" si="12">LN(Z45)</f>
        <v>-0.77225532507370576</v>
      </c>
    </row>
    <row r="46" spans="1:40" ht="18" x14ac:dyDescent="0.25">
      <c r="A46" s="32">
        <v>9</v>
      </c>
      <c r="B46" s="245">
        <v>15.9192</v>
      </c>
      <c r="C46" s="169">
        <v>10.9366</v>
      </c>
      <c r="D46" s="48">
        <f>AVERAGE(37,35)/10^(-6)/0.1</f>
        <v>360000000</v>
      </c>
      <c r="E46" s="235">
        <f t="shared" si="8"/>
        <v>1.2851999999999999</v>
      </c>
      <c r="F46" s="5"/>
      <c r="G46" s="10" t="s">
        <v>94</v>
      </c>
      <c r="H46" s="5">
        <f>H44+H45*1000</f>
        <v>1500</v>
      </c>
      <c r="J46" s="109" t="s">
        <v>301</v>
      </c>
      <c r="K46" s="229">
        <f>(1-H43)*H44/1000</f>
        <v>0.20494557501183153</v>
      </c>
      <c r="L46" s="110"/>
      <c r="M46" s="110"/>
      <c r="N46" s="200"/>
      <c r="O46" s="5"/>
      <c r="P46" s="109" t="s">
        <v>313</v>
      </c>
      <c r="Q46" s="229">
        <f>C55*(E55)</f>
        <v>34.732271879999978</v>
      </c>
      <c r="R46" s="36"/>
      <c r="S46" s="5"/>
      <c r="T46" s="5"/>
      <c r="V46" s="46">
        <f t="shared" si="9"/>
        <v>3</v>
      </c>
      <c r="W46" s="245">
        <v>1.3284</v>
      </c>
      <c r="X46" s="169">
        <f t="shared" si="10"/>
        <v>24.186444480000002</v>
      </c>
      <c r="Y46" s="54">
        <f>D44*(X56-COUNT($V$45:V45)*0.024*1000)</f>
        <v>197783999999.99997</v>
      </c>
      <c r="Z46" s="240">
        <f t="shared" si="11"/>
        <v>1.8230961600000002</v>
      </c>
      <c r="AA46" s="243">
        <f t="shared" ref="AA46:AA53" si="13">((A44-A43)/(A45-A43)*(C45-C44)/(A45-A44))+((C44-C43)/(A44-A43)*(A45-A44)/(A45-A43))</f>
        <v>0.73353333333333337</v>
      </c>
      <c r="AB46" s="211">
        <f>(AA46*0.9/1000)/D44</f>
        <v>4.9267164179104496E-12</v>
      </c>
      <c r="AC46" s="240">
        <f t="shared" si="12"/>
        <v>0.60053624252261217</v>
      </c>
      <c r="AH46" s="10"/>
      <c r="AI46" s="10"/>
      <c r="AM46" s="10"/>
      <c r="AN46" s="37"/>
    </row>
    <row r="47" spans="1:40" x14ac:dyDescent="0.2">
      <c r="A47" s="32">
        <v>12</v>
      </c>
      <c r="B47" s="245">
        <v>11.156499999999999</v>
      </c>
      <c r="C47" s="169">
        <v>16.2927</v>
      </c>
      <c r="D47" s="48">
        <f>AVERAGE(38,30)/10^(-6)/0.1</f>
        <v>340000000</v>
      </c>
      <c r="E47" s="235">
        <f t="shared" si="8"/>
        <v>1.2635999999999998</v>
      </c>
      <c r="F47" s="36"/>
      <c r="I47" s="5"/>
      <c r="J47" s="199"/>
      <c r="K47" s="199"/>
      <c r="L47" s="110"/>
      <c r="M47" s="110"/>
      <c r="N47" s="200"/>
      <c r="O47" s="5"/>
      <c r="P47" s="110"/>
      <c r="Q47" s="110"/>
      <c r="R47" s="36"/>
      <c r="S47" s="5"/>
      <c r="T47" s="5"/>
      <c r="U47" s="36"/>
      <c r="V47" s="46">
        <f t="shared" si="9"/>
        <v>6</v>
      </c>
      <c r="W47" s="245">
        <v>1.3068</v>
      </c>
      <c r="X47" s="169">
        <f t="shared" si="10"/>
        <v>26.511705000000003</v>
      </c>
      <c r="Y47" s="54">
        <f>D45*(X56-COUNT($V$45:V46)*0.024*1000)</f>
        <v>171335999999.99997</v>
      </c>
      <c r="Z47" s="240">
        <f t="shared" si="11"/>
        <v>6.1986751199999999</v>
      </c>
      <c r="AA47" s="243">
        <f t="shared" si="13"/>
        <v>1.5940333333333334</v>
      </c>
      <c r="AB47" s="211">
        <f t="shared" ref="AB47:AB53" si="14">(AA47*0.9/1000)/D45</f>
        <v>1.2157881355932208E-11</v>
      </c>
      <c r="AC47" s="240">
        <f t="shared" si="12"/>
        <v>1.824335578893435</v>
      </c>
      <c r="AI47" s="10"/>
      <c r="AM47" s="10"/>
      <c r="AN47" s="37"/>
    </row>
    <row r="48" spans="1:40" ht="18" x14ac:dyDescent="0.25">
      <c r="A48" s="32">
        <v>15</v>
      </c>
      <c r="B48" s="245">
        <v>7.1226000000000003</v>
      </c>
      <c r="C48" s="169">
        <v>19.4253</v>
      </c>
      <c r="D48" s="48">
        <f>AVERAGE(43,79)/10^(-6)/0.1</f>
        <v>610000000</v>
      </c>
      <c r="E48" s="235">
        <f t="shared" si="8"/>
        <v>1.2419999999999998</v>
      </c>
      <c r="F48" s="36"/>
      <c r="G48" s="108" t="s">
        <v>309</v>
      </c>
      <c r="H48" s="50"/>
      <c r="I48" s="5"/>
      <c r="J48" s="109" t="s">
        <v>303</v>
      </c>
      <c r="K48" s="229">
        <f>(10*243.364/1000+K45*K46)/(E43)</f>
        <v>2.8350147482077439</v>
      </c>
      <c r="L48" s="110"/>
      <c r="M48" s="196" t="s">
        <v>327</v>
      </c>
      <c r="N48" s="199"/>
      <c r="O48" s="5"/>
      <c r="P48" s="196" t="s">
        <v>314</v>
      </c>
      <c r="Q48" s="233">
        <f>Q46-Q45+H52</f>
        <v>39.117529799999978</v>
      </c>
      <c r="R48" s="5"/>
      <c r="S48" s="5"/>
      <c r="T48" s="5"/>
      <c r="U48" s="5"/>
      <c r="V48" s="46">
        <f t="shared" si="9"/>
        <v>9</v>
      </c>
      <c r="W48" s="245">
        <v>1.2851999999999999</v>
      </c>
      <c r="X48" s="169">
        <f t="shared" si="10"/>
        <v>20.459355839999997</v>
      </c>
      <c r="Y48" s="54">
        <f>D46*(X56-COUNT($V$45:V47)*0.024*1000)</f>
        <v>514080000000</v>
      </c>
      <c r="Z48" s="240">
        <f t="shared" si="11"/>
        <v>14.055718319999999</v>
      </c>
      <c r="AA48" s="243">
        <f t="shared" si="13"/>
        <v>1.9248833333333333</v>
      </c>
      <c r="AB48" s="211">
        <f t="shared" si="14"/>
        <v>4.8122083333333333E-12</v>
      </c>
      <c r="AC48" s="240">
        <f t="shared" si="12"/>
        <v>2.643029310843358</v>
      </c>
      <c r="AH48" s="10"/>
      <c r="AI48" s="10"/>
      <c r="AJ48" s="10"/>
      <c r="AK48" s="10"/>
      <c r="AL48" s="10"/>
    </row>
    <row r="49" spans="1:42" ht="18" x14ac:dyDescent="0.25">
      <c r="A49" s="32">
        <v>21</v>
      </c>
      <c r="B49" s="245">
        <v>2.6720999999999999</v>
      </c>
      <c r="C49" s="169">
        <v>25.0258</v>
      </c>
      <c r="D49" s="48">
        <f>AVERAGE(165,173)/10^(-5)/0.1</f>
        <v>169000000</v>
      </c>
      <c r="E49" s="235">
        <f t="shared" si="8"/>
        <v>1.2203999999999997</v>
      </c>
      <c r="F49" s="36"/>
      <c r="G49" s="199" t="s">
        <v>95</v>
      </c>
      <c r="H49" s="199">
        <f>COUNT(A43:A52)</f>
        <v>10</v>
      </c>
      <c r="I49" s="36"/>
      <c r="J49" s="109" t="s">
        <v>300</v>
      </c>
      <c r="K49" s="230">
        <f>10*243.364/1000+K45*K46</f>
        <v>3.8272699100804544</v>
      </c>
      <c r="L49" s="110"/>
      <c r="M49" s="110"/>
      <c r="N49" s="199"/>
      <c r="O49" s="197"/>
      <c r="P49" s="5"/>
      <c r="Q49" s="5"/>
      <c r="R49" s="36"/>
      <c r="S49" s="197"/>
      <c r="T49" s="5"/>
      <c r="U49" s="36"/>
      <c r="V49" s="46">
        <f t="shared" si="9"/>
        <v>12</v>
      </c>
      <c r="W49" s="245">
        <v>1.2635999999999998</v>
      </c>
      <c r="X49" s="169">
        <f t="shared" si="10"/>
        <v>14.097353399999998</v>
      </c>
      <c r="Y49" s="54">
        <f>D47*(X56-COUNT($V$45:V48)*0.024*1000)</f>
        <v>477360000000</v>
      </c>
      <c r="Z49" s="240">
        <f t="shared" si="11"/>
        <v>20.587455719999998</v>
      </c>
      <c r="AA49" s="243">
        <f t="shared" si="13"/>
        <v>1.4147833333333333</v>
      </c>
      <c r="AB49" s="211">
        <f t="shared" si="14"/>
        <v>3.7450147058823531E-12</v>
      </c>
      <c r="AC49" s="240">
        <f t="shared" si="12"/>
        <v>3.0246819446817734</v>
      </c>
      <c r="AN49" s="29"/>
    </row>
    <row r="50" spans="1:42" x14ac:dyDescent="0.2">
      <c r="A50" s="32">
        <v>24</v>
      </c>
      <c r="B50" s="245">
        <v>1.1807000000000001</v>
      </c>
      <c r="C50" s="169">
        <v>26.923100000000002</v>
      </c>
      <c r="D50" s="48">
        <f>AVERAGE(114,37)/10^(-5)/0.1</f>
        <v>75499999.999999985</v>
      </c>
      <c r="E50" s="235">
        <f t="shared" si="8"/>
        <v>1.1987999999999996</v>
      </c>
      <c r="G50" s="199" t="s">
        <v>96</v>
      </c>
      <c r="H50" s="199">
        <f>0.9*0.024</f>
        <v>2.1600000000000001E-2</v>
      </c>
      <c r="I50" s="5"/>
      <c r="J50" s="110"/>
      <c r="K50" s="199"/>
      <c r="L50" s="110"/>
      <c r="M50" s="200" t="s">
        <v>328</v>
      </c>
      <c r="N50" s="229">
        <f>AVERAGE('4 Amount of released glucose'!D10:D18)*H43*H44</f>
        <v>87.296317767830757</v>
      </c>
      <c r="O50" s="36"/>
      <c r="P50" s="5"/>
      <c r="R50" s="36"/>
      <c r="S50" s="36"/>
      <c r="T50" s="5"/>
      <c r="U50" s="5"/>
      <c r="V50" s="46">
        <f t="shared" si="9"/>
        <v>15</v>
      </c>
      <c r="W50" s="245">
        <v>1.2419999999999998</v>
      </c>
      <c r="X50" s="169">
        <f t="shared" si="10"/>
        <v>8.8462691999999983</v>
      </c>
      <c r="Y50" s="54">
        <f>D48*(X56-COUNT($V$45:V49)*0.024*1000)</f>
        <v>841800000000</v>
      </c>
      <c r="Z50" s="240">
        <f t="shared" si="11"/>
        <v>24.126222599999995</v>
      </c>
      <c r="AA50" s="243">
        <f t="shared" si="13"/>
        <v>1.0072722222222223</v>
      </c>
      <c r="AB50" s="211">
        <f t="shared" si="14"/>
        <v>1.4861393442622954E-12</v>
      </c>
      <c r="AC50" s="240">
        <f t="shared" si="12"/>
        <v>3.1832993236611844</v>
      </c>
      <c r="AM50" s="106"/>
      <c r="AN50" s="52"/>
    </row>
    <row r="51" spans="1:42" ht="17" x14ac:dyDescent="0.25">
      <c r="A51" s="32">
        <v>27</v>
      </c>
      <c r="B51" s="245">
        <v>0.15459999999999999</v>
      </c>
      <c r="C51" s="169">
        <v>28.105599999999999</v>
      </c>
      <c r="D51" s="48">
        <f>AVERAGE(160)/10^(-5)/0.1</f>
        <v>159999999.99999997</v>
      </c>
      <c r="E51" s="235">
        <f t="shared" si="8"/>
        <v>1.1771999999999996</v>
      </c>
      <c r="G51" s="200" t="s">
        <v>97</v>
      </c>
      <c r="H51" s="230">
        <f>H50*(SUM(B43:B54))</f>
        <v>1.9187517600000001</v>
      </c>
      <c r="I51" s="5"/>
      <c r="J51" s="110"/>
      <c r="K51" s="110"/>
      <c r="L51" s="110"/>
      <c r="M51" s="200" t="s">
        <v>329</v>
      </c>
      <c r="N51" s="229">
        <f>AVERAGE('4 Amount of released glucose'!D28:D36)*H43*H44</f>
        <v>55.495905001251209</v>
      </c>
      <c r="O51" s="5"/>
      <c r="P51" s="5"/>
      <c r="R51" s="5"/>
      <c r="S51" s="5"/>
      <c r="T51" s="5"/>
      <c r="U51" s="5"/>
      <c r="V51" s="46">
        <f t="shared" si="9"/>
        <v>21</v>
      </c>
      <c r="W51" s="245">
        <v>1.2203999999999997</v>
      </c>
      <c r="X51" s="169">
        <f t="shared" si="10"/>
        <v>3.2610308399999992</v>
      </c>
      <c r="Y51" s="54">
        <f>D49*(X56-COUNT($V$45:V50)*0.024*1000)</f>
        <v>229164000000</v>
      </c>
      <c r="Z51" s="240">
        <f t="shared" si="11"/>
        <v>30.541486319999994</v>
      </c>
      <c r="AA51" s="243">
        <f t="shared" si="13"/>
        <v>0.73276111111111142</v>
      </c>
      <c r="AB51" s="211">
        <f t="shared" si="14"/>
        <v>3.9022781065088782E-12</v>
      </c>
      <c r="AC51" s="240">
        <f t="shared" si="12"/>
        <v>3.4190859665826632</v>
      </c>
      <c r="AM51" s="106"/>
      <c r="AN51" s="52"/>
    </row>
    <row r="52" spans="1:42" x14ac:dyDescent="0.2">
      <c r="A52" s="264">
        <v>30</v>
      </c>
      <c r="B52" s="252">
        <v>0.12640000000000001</v>
      </c>
      <c r="C52" s="253">
        <v>29.802099999999999</v>
      </c>
      <c r="D52" s="258">
        <f>AVERAGE(3,1)/10^(-6)/0.1</f>
        <v>20000000</v>
      </c>
      <c r="E52" s="259">
        <f t="shared" si="8"/>
        <v>1.1555999999999995</v>
      </c>
      <c r="G52" s="200" t="s">
        <v>98</v>
      </c>
      <c r="H52" s="230">
        <f>H50*(SUM(C43:C54))</f>
        <v>4.8472279199999999</v>
      </c>
      <c r="I52" s="5"/>
      <c r="J52" s="110"/>
      <c r="K52" s="110"/>
      <c r="L52" s="110"/>
      <c r="M52" s="200" t="s">
        <v>330</v>
      </c>
      <c r="N52" s="232">
        <f>N50-N51</f>
        <v>31.800412766579548</v>
      </c>
      <c r="O52" s="5"/>
      <c r="P52" s="5"/>
      <c r="R52" s="5"/>
      <c r="S52" s="5"/>
      <c r="T52" s="5"/>
      <c r="V52" s="46">
        <f t="shared" si="9"/>
        <v>24</v>
      </c>
      <c r="W52" s="245">
        <v>1.1987999999999996</v>
      </c>
      <c r="X52" s="169">
        <f t="shared" si="10"/>
        <v>1.4154231599999996</v>
      </c>
      <c r="Y52" s="54">
        <f>D50*(X56-COUNT($V$45:V51)*0.024*1000)</f>
        <v>100565999999.99998</v>
      </c>
      <c r="Z52" s="240">
        <f t="shared" si="11"/>
        <v>32.275412279999991</v>
      </c>
      <c r="AA52" s="243">
        <f t="shared" si="13"/>
        <v>0.51329999999999976</v>
      </c>
      <c r="AB52" s="211">
        <f t="shared" si="14"/>
        <v>6.1188079470198652E-12</v>
      </c>
      <c r="AC52" s="240">
        <f t="shared" si="12"/>
        <v>3.4743057106247832</v>
      </c>
      <c r="AM52" s="106"/>
      <c r="AN52" s="52"/>
    </row>
    <row r="53" spans="1:42" x14ac:dyDescent="0.2">
      <c r="A53" s="32">
        <v>33</v>
      </c>
      <c r="B53" s="245">
        <v>0.15310000000000001</v>
      </c>
      <c r="C53" s="169">
        <v>30.5092</v>
      </c>
      <c r="D53" s="6"/>
      <c r="E53" s="235">
        <f t="shared" si="8"/>
        <v>1.1339999999999995</v>
      </c>
      <c r="J53" s="110"/>
      <c r="K53" s="110"/>
      <c r="L53" s="110"/>
      <c r="M53" s="110"/>
      <c r="N53" s="199"/>
      <c r="O53" s="5"/>
      <c r="P53" s="5"/>
      <c r="R53" s="5"/>
      <c r="S53" s="5"/>
      <c r="T53" s="5"/>
      <c r="V53" s="46">
        <f t="shared" si="9"/>
        <v>27</v>
      </c>
      <c r="W53" s="245">
        <v>1.1771999999999996</v>
      </c>
      <c r="X53" s="169">
        <f t="shared" si="10"/>
        <v>0.18199511999999993</v>
      </c>
      <c r="Y53" s="54">
        <f>D51*(X56-COUNT($V$45:V52)*0.024*1000)</f>
        <v>209279999999.99997</v>
      </c>
      <c r="Z53" s="240">
        <f t="shared" si="11"/>
        <v>33.085912319999984</v>
      </c>
      <c r="AA53" s="243">
        <f t="shared" si="13"/>
        <v>0.479833333333333</v>
      </c>
      <c r="AB53" s="211">
        <f t="shared" si="14"/>
        <v>2.699062499999999E-12</v>
      </c>
      <c r="AC53" s="240">
        <f t="shared" si="12"/>
        <v>3.4991075821178415</v>
      </c>
      <c r="AM53" s="106"/>
      <c r="AN53" s="52"/>
    </row>
    <row r="54" spans="1:42" ht="16" thickBot="1" x14ac:dyDescent="0.25">
      <c r="A54" s="32">
        <v>36</v>
      </c>
      <c r="B54" s="245">
        <v>3.2399999999999998E-2</v>
      </c>
      <c r="C54" s="169">
        <v>30.930299999999999</v>
      </c>
      <c r="D54" s="6"/>
      <c r="E54" s="235">
        <f t="shared" si="8"/>
        <v>1.1123999999999994</v>
      </c>
      <c r="J54" s="110"/>
      <c r="K54" s="110"/>
      <c r="L54" s="110"/>
      <c r="M54" s="196" t="s">
        <v>347</v>
      </c>
      <c r="N54" s="233">
        <f>N52+K49-H52-N45</f>
        <v>30.570148516659998</v>
      </c>
      <c r="O54" s="5"/>
      <c r="P54" s="5"/>
      <c r="R54" s="5"/>
      <c r="S54" s="5"/>
      <c r="T54" s="5"/>
      <c r="V54" s="260">
        <f t="shared" si="9"/>
        <v>30</v>
      </c>
      <c r="W54" s="266">
        <v>1.1555999999999995</v>
      </c>
      <c r="X54" s="261">
        <f t="shared" si="10"/>
        <v>0.14606783999999995</v>
      </c>
      <c r="Y54" s="262">
        <f>D52*(X56-COUNT($V$45:V53)*0.024*1000)</f>
        <v>25680000000</v>
      </c>
      <c r="Z54" s="263">
        <f t="shared" si="11"/>
        <v>34.439306759999987</v>
      </c>
      <c r="AA54" s="267"/>
      <c r="AB54" s="268"/>
      <c r="AC54" s="263">
        <f t="shared" si="12"/>
        <v>3.5391985504370798</v>
      </c>
      <c r="AM54" s="106"/>
      <c r="AN54" s="52"/>
    </row>
    <row r="55" spans="1:42" ht="18" thickBot="1" x14ac:dyDescent="0.25">
      <c r="A55" s="42">
        <v>53</v>
      </c>
      <c r="B55" s="246">
        <v>0.1928</v>
      </c>
      <c r="C55" s="238">
        <v>31.841100000000001</v>
      </c>
      <c r="D55" s="9"/>
      <c r="E55" s="236">
        <f t="shared" si="8"/>
        <v>1.0907999999999993</v>
      </c>
      <c r="H55" s="36"/>
      <c r="I55" s="5"/>
      <c r="N55" s="36"/>
      <c r="O55" s="36"/>
      <c r="P55" s="5"/>
      <c r="R55" s="36"/>
      <c r="S55" s="5"/>
      <c r="T55" s="197"/>
      <c r="W55" s="5"/>
      <c r="X55" s="5"/>
      <c r="Y55" s="5"/>
      <c r="Z55" s="5"/>
      <c r="AA55" s="305"/>
      <c r="AB55" s="306"/>
      <c r="AM55" s="106"/>
      <c r="AN55" s="52"/>
    </row>
    <row r="56" spans="1:42" ht="16" thickBot="1" x14ac:dyDescent="0.25">
      <c r="H56" s="5"/>
      <c r="I56" s="5"/>
      <c r="N56" s="5"/>
      <c r="O56" s="5"/>
      <c r="P56" s="5"/>
      <c r="R56" s="5"/>
      <c r="S56" s="5"/>
      <c r="T56" s="5"/>
      <c r="V56" s="44" t="s">
        <v>94</v>
      </c>
      <c r="W56" s="59"/>
      <c r="X56" s="60">
        <f>H45*1000+H44</f>
        <v>1500</v>
      </c>
      <c r="Y56" s="36"/>
      <c r="Z56" s="10" t="s">
        <v>93</v>
      </c>
      <c r="AA56" s="301">
        <f>MAX(AA46:AA53)</f>
        <v>1.9248833333333333</v>
      </c>
      <c r="AB56" s="302">
        <f>MAX(AB46:AB53)</f>
        <v>1.2157881355932208E-11</v>
      </c>
      <c r="AM56" s="106"/>
      <c r="AN56" s="52"/>
    </row>
    <row r="57" spans="1:42" ht="18" thickBot="1" x14ac:dyDescent="0.25">
      <c r="A57" s="11" t="s">
        <v>296</v>
      </c>
      <c r="D57" s="222"/>
      <c r="H57" s="36"/>
      <c r="I57" s="5"/>
      <c r="N57" s="5"/>
      <c r="O57" s="5"/>
      <c r="P57" s="5"/>
      <c r="R57" s="5"/>
      <c r="S57" s="5"/>
      <c r="T57" s="5"/>
      <c r="W57" s="5"/>
      <c r="X57" s="5"/>
      <c r="Y57" s="39"/>
      <c r="Z57" s="10" t="s">
        <v>99</v>
      </c>
      <c r="AA57" s="303">
        <f>(C52-C43)/A52</f>
        <v>0.98199666666666674</v>
      </c>
      <c r="AB57" s="304">
        <f>AVERAGE(AB46:AB53)</f>
        <v>4.9810135888561732E-12</v>
      </c>
      <c r="AM57" s="106"/>
      <c r="AN57" s="52"/>
    </row>
    <row r="58" spans="1:42" ht="17" x14ac:dyDescent="0.2">
      <c r="A58" s="49" t="s">
        <v>297</v>
      </c>
      <c r="H58" s="36"/>
      <c r="I58" s="5"/>
      <c r="N58" s="36"/>
      <c r="O58" s="197"/>
      <c r="P58" s="5"/>
      <c r="R58" s="36"/>
      <c r="S58" s="36"/>
      <c r="T58" s="195"/>
      <c r="W58" s="5"/>
      <c r="X58" s="5"/>
      <c r="Y58" s="5"/>
      <c r="Z58" s="5"/>
      <c r="AN58" s="52"/>
    </row>
    <row r="59" spans="1:42" ht="17" x14ac:dyDescent="0.2">
      <c r="A59" s="49" t="s">
        <v>299</v>
      </c>
      <c r="H59" s="5"/>
      <c r="I59" s="5"/>
      <c r="N59" s="36"/>
      <c r="O59" s="36"/>
      <c r="P59" s="5"/>
      <c r="R59" s="36"/>
      <c r="S59" s="36"/>
      <c r="T59" s="195"/>
      <c r="AE59" s="5"/>
      <c r="AF59" s="5"/>
      <c r="AG59" s="5"/>
      <c r="AH59" s="5"/>
      <c r="AI59" s="5"/>
      <c r="AJ59" s="5"/>
      <c r="AK59" s="5"/>
      <c r="AL59" s="5"/>
      <c r="AM59" s="5"/>
      <c r="AN59" s="212"/>
      <c r="AO59" s="5"/>
      <c r="AP59" s="5"/>
    </row>
    <row r="60" spans="1:42" ht="17" x14ac:dyDescent="0.2">
      <c r="A60" s="49" t="s">
        <v>385</v>
      </c>
      <c r="H60" s="5"/>
      <c r="I60" s="5"/>
      <c r="N60" s="5"/>
      <c r="O60" s="5"/>
      <c r="P60" s="5"/>
      <c r="R60" s="5"/>
      <c r="S60" s="5"/>
      <c r="T60" s="5"/>
      <c r="AE60" s="5"/>
      <c r="AF60" s="5"/>
      <c r="AG60" s="5"/>
      <c r="AH60" s="5"/>
      <c r="AI60" s="5"/>
      <c r="AJ60" s="5"/>
      <c r="AK60" s="5"/>
      <c r="AL60" s="5"/>
      <c r="AM60" s="5"/>
      <c r="AN60" s="212"/>
      <c r="AO60" s="5"/>
      <c r="AP60" s="5"/>
    </row>
    <row r="61" spans="1:42" ht="17" x14ac:dyDescent="0.2">
      <c r="A61" s="49" t="s">
        <v>308</v>
      </c>
      <c r="H61" s="36"/>
      <c r="I61" s="36"/>
      <c r="N61" s="5"/>
      <c r="O61" s="5"/>
      <c r="P61" s="5"/>
      <c r="S61" s="191" t="s">
        <v>372</v>
      </c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7" x14ac:dyDescent="0.2">
      <c r="A62" s="49" t="s">
        <v>320</v>
      </c>
      <c r="H62" s="36"/>
      <c r="I62" s="36"/>
      <c r="S62" s="198" t="s">
        <v>82</v>
      </c>
      <c r="W62" s="198" t="s">
        <v>90</v>
      </c>
      <c r="AE62" s="5"/>
      <c r="AF62" s="5"/>
      <c r="AG62" s="36"/>
      <c r="AH62" s="5"/>
      <c r="AI62" s="5"/>
      <c r="AJ62" s="5"/>
      <c r="AK62" s="5"/>
      <c r="AL62" s="195"/>
      <c r="AM62" s="213"/>
      <c r="AN62" s="214"/>
      <c r="AO62" s="5"/>
      <c r="AP62" s="5"/>
    </row>
    <row r="63" spans="1:42" x14ac:dyDescent="0.2">
      <c r="H63" s="5"/>
      <c r="I63" s="5"/>
      <c r="J63" s="36"/>
      <c r="K63" s="5"/>
      <c r="L63" s="5"/>
      <c r="M63" s="5"/>
      <c r="U63" s="196" t="s">
        <v>383</v>
      </c>
      <c r="X63" s="247" t="s">
        <v>217</v>
      </c>
      <c r="Y63" s="247" t="s">
        <v>383</v>
      </c>
      <c r="Z63" s="247" t="s">
        <v>83</v>
      </c>
      <c r="AA63" s="247" t="s">
        <v>383</v>
      </c>
      <c r="AE63" s="5"/>
      <c r="AF63" s="5"/>
      <c r="AG63" s="5"/>
      <c r="AH63" s="5"/>
      <c r="AI63" s="5"/>
      <c r="AJ63" s="5"/>
      <c r="AK63" s="5"/>
      <c r="AL63" s="195"/>
      <c r="AM63" s="213"/>
      <c r="AN63" s="214"/>
      <c r="AO63" s="5"/>
      <c r="AP63" s="5"/>
    </row>
    <row r="64" spans="1:42" ht="18" x14ac:dyDescent="0.25">
      <c r="H64" s="5"/>
      <c r="I64" s="5"/>
      <c r="J64" s="197"/>
      <c r="K64" s="5"/>
      <c r="L64" s="5"/>
      <c r="M64" s="5"/>
      <c r="S64" s="196" t="s">
        <v>348</v>
      </c>
      <c r="T64" s="226">
        <f>AVERAGE(T13,T43)</f>
        <v>1.2319705019527507</v>
      </c>
      <c r="U64" s="226">
        <f>T64-T13</f>
        <v>4.7628443360905992E-2</v>
      </c>
      <c r="X64" s="247" t="s">
        <v>323</v>
      </c>
      <c r="Y64" s="247"/>
      <c r="Z64" s="247" t="s">
        <v>384</v>
      </c>
      <c r="AA64" s="247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0:42" ht="17" x14ac:dyDescent="0.25">
      <c r="J65" s="36"/>
      <c r="K65" s="36"/>
      <c r="L65" s="36"/>
      <c r="M65" s="5"/>
      <c r="S65" s="196" t="s">
        <v>374</v>
      </c>
      <c r="T65" s="226">
        <f>AVERAGE(T14,T44)</f>
        <v>1.2395933530858574</v>
      </c>
      <c r="U65" s="226">
        <f>T65-T44</f>
        <v>9.4983198191724849E-3</v>
      </c>
      <c r="W65" s="247" t="s">
        <v>93</v>
      </c>
      <c r="X65" s="248">
        <f>AVERAGE(AA56,AA26)</f>
        <v>1.9258916666666668</v>
      </c>
      <c r="Y65" s="248">
        <f>X65-AA56</f>
        <v>1.0083333333334998E-3</v>
      </c>
      <c r="Z65" s="248">
        <f>AVERAGE(AB56,AB26)*10^11</f>
        <v>1.1858367761299438</v>
      </c>
      <c r="AA65" s="248">
        <f>Z65-AB26*10^11</f>
        <v>2.9951359463276983E-2</v>
      </c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0:42" ht="17" x14ac:dyDescent="0.25">
      <c r="J66" s="5"/>
      <c r="K66" s="5"/>
      <c r="L66" s="5"/>
      <c r="M66" s="5"/>
      <c r="S66" s="196" t="s">
        <v>375</v>
      </c>
      <c r="T66" s="226">
        <f>AVERAGE(T15,T45)</f>
        <v>0.27314551799999987</v>
      </c>
      <c r="U66" s="226">
        <f>T66-T45</f>
        <v>1.2361985999999991E-2</v>
      </c>
      <c r="W66" s="247" t="s">
        <v>99</v>
      </c>
      <c r="X66" s="248">
        <f>AVERAGE(AA57,AA27)</f>
        <v>1.1080254166666668</v>
      </c>
      <c r="Y66" s="248">
        <f>X66-AA57</f>
        <v>0.12602875000000002</v>
      </c>
      <c r="Z66" s="248">
        <f>AVERAGE(AB57,AB27)*10^11</f>
        <v>0.51736192157940464</v>
      </c>
      <c r="AA66" s="248">
        <f>Z66-(AB57*10^11)</f>
        <v>1.9260562693787342E-2</v>
      </c>
      <c r="AE66" s="5"/>
      <c r="AF66" s="5"/>
      <c r="AG66" s="36"/>
      <c r="AH66" s="5"/>
      <c r="AI66" s="5"/>
      <c r="AJ66" s="5"/>
      <c r="AK66" s="5"/>
      <c r="AL66" s="5"/>
      <c r="AM66" s="5"/>
      <c r="AN66" s="5"/>
      <c r="AO66" s="5"/>
      <c r="AP66" s="5"/>
    </row>
    <row r="67" spans="10:42" x14ac:dyDescent="0.2">
      <c r="J67" s="36"/>
      <c r="K67" s="5"/>
      <c r="L67" s="5"/>
      <c r="M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0:42" x14ac:dyDescent="0.2">
      <c r="J68" s="36"/>
      <c r="K68" s="5"/>
      <c r="L68" s="5"/>
      <c r="M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0:42" x14ac:dyDescent="0.2">
      <c r="J69" s="5"/>
      <c r="K69" s="5"/>
      <c r="L69" s="5"/>
      <c r="M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0:42" x14ac:dyDescent="0.2">
      <c r="J70" s="36"/>
      <c r="K70" s="5"/>
      <c r="L70" s="5"/>
      <c r="M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0:42" x14ac:dyDescent="0.2">
      <c r="J71" s="5"/>
      <c r="K71" s="36"/>
      <c r="L71" s="36"/>
      <c r="M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0:42" x14ac:dyDescent="0.2">
      <c r="J72" s="5"/>
      <c r="K72" s="5"/>
      <c r="L72" s="5"/>
      <c r="M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0:42" x14ac:dyDescent="0.2">
      <c r="J73" s="5"/>
      <c r="K73" s="5"/>
      <c r="L73" s="5"/>
      <c r="M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0:42" x14ac:dyDescent="0.2"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0:42" x14ac:dyDescent="0.2"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0:42" x14ac:dyDescent="0.2"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0:42" x14ac:dyDescent="0.2"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0:42" x14ac:dyDescent="0.2"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</sheetData>
  <mergeCells count="1">
    <mergeCell ref="AA33:AB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AG35"/>
  <sheetViews>
    <sheetView topLeftCell="S7" workbookViewId="0">
      <selection activeCell="G22" sqref="G22"/>
    </sheetView>
  </sheetViews>
  <sheetFormatPr baseColWidth="10" defaultColWidth="8.83203125" defaultRowHeight="15" x14ac:dyDescent="0.2"/>
  <cols>
    <col min="1" max="1" width="13.6640625" style="11" customWidth="1"/>
    <col min="2" max="3" width="8.83203125" style="11"/>
    <col min="4" max="4" width="9.83203125" style="11" bestFit="1" customWidth="1"/>
    <col min="5" max="5" width="13.6640625" style="11" bestFit="1" customWidth="1"/>
    <col min="6" max="6" width="10.83203125" style="11" bestFit="1" customWidth="1"/>
    <col min="7" max="7" width="24.5" style="11" bestFit="1" customWidth="1"/>
    <col min="8" max="8" width="14" style="11" customWidth="1"/>
    <col min="9" max="9" width="11.1640625" style="11" bestFit="1" customWidth="1"/>
    <col min="10" max="10" width="32.1640625" style="11" bestFit="1" customWidth="1"/>
    <col min="11" max="11" width="8.83203125" style="11"/>
    <col min="12" max="12" width="3.5" style="11" customWidth="1"/>
    <col min="13" max="13" width="37.6640625" style="11" bestFit="1" customWidth="1"/>
    <col min="14" max="15" width="8.83203125" style="11"/>
    <col min="16" max="16" width="24" style="11" bestFit="1" customWidth="1"/>
    <col min="17" max="18" width="8.83203125" style="11"/>
    <col min="19" max="19" width="30.5" style="11" bestFit="1" customWidth="1"/>
    <col min="20" max="21" width="8.83203125" style="11"/>
    <col min="22" max="22" width="13.33203125" style="11" bestFit="1" customWidth="1"/>
    <col min="23" max="23" width="12" style="11" bestFit="1" customWidth="1"/>
    <col min="24" max="25" width="8.83203125" style="11"/>
    <col min="26" max="26" width="12" style="11" bestFit="1" customWidth="1"/>
    <col min="27" max="27" width="22.5" style="11" bestFit="1" customWidth="1"/>
    <col min="28" max="28" width="19.33203125" style="11" bestFit="1" customWidth="1"/>
    <col min="29" max="29" width="12.6640625" style="11" bestFit="1" customWidth="1"/>
    <col min="30" max="16384" width="8.83203125" style="11"/>
  </cols>
  <sheetData>
    <row r="1" spans="1:33" x14ac:dyDescent="0.2">
      <c r="A1" s="191" t="s">
        <v>367</v>
      </c>
      <c r="B1" s="191"/>
      <c r="C1" s="191"/>
    </row>
    <row r="3" spans="1:33" x14ac:dyDescent="0.2">
      <c r="A3" s="10" t="s">
        <v>394</v>
      </c>
    </row>
    <row r="4" spans="1:33" x14ac:dyDescent="0.2">
      <c r="AA4" s="10"/>
      <c r="AD4" s="29"/>
    </row>
    <row r="6" spans="1:33" ht="16" thickBot="1" x14ac:dyDescent="0.25">
      <c r="A6" s="10" t="s">
        <v>84</v>
      </c>
      <c r="J6" s="10" t="s">
        <v>88</v>
      </c>
      <c r="AA6" s="36"/>
      <c r="AB6" s="36"/>
      <c r="AC6" s="5"/>
      <c r="AD6" s="195"/>
      <c r="AE6" s="5"/>
      <c r="AF6" s="5"/>
      <c r="AG6" s="5"/>
    </row>
    <row r="7" spans="1:33" x14ac:dyDescent="0.2">
      <c r="A7" s="43" t="s">
        <v>293</v>
      </c>
      <c r="B7" s="43" t="s">
        <v>80</v>
      </c>
      <c r="C7" s="33" t="s">
        <v>81</v>
      </c>
      <c r="D7" s="34" t="s">
        <v>295</v>
      </c>
      <c r="E7" s="192" t="s">
        <v>381</v>
      </c>
      <c r="P7" s="198" t="s">
        <v>311</v>
      </c>
      <c r="S7" s="198" t="s">
        <v>82</v>
      </c>
      <c r="V7" s="198" t="s">
        <v>90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" thickBot="1" x14ac:dyDescent="0.25">
      <c r="A8" s="61" t="s">
        <v>79</v>
      </c>
      <c r="B8" s="61" t="s">
        <v>76</v>
      </c>
      <c r="C8" s="53" t="s">
        <v>76</v>
      </c>
      <c r="D8" s="55" t="s">
        <v>294</v>
      </c>
      <c r="E8" s="203" t="s">
        <v>382</v>
      </c>
      <c r="F8" s="36"/>
      <c r="G8" s="108" t="s">
        <v>87</v>
      </c>
      <c r="H8" s="50"/>
      <c r="I8" s="5"/>
      <c r="J8" s="198" t="s">
        <v>310</v>
      </c>
      <c r="V8" s="36"/>
      <c r="W8" s="5"/>
      <c r="X8" s="36"/>
      <c r="Y8" s="36"/>
      <c r="Z8" s="5"/>
      <c r="AA8" s="36"/>
      <c r="AB8" s="36"/>
      <c r="AC8" s="5"/>
      <c r="AD8" s="195"/>
      <c r="AE8" s="5"/>
      <c r="AF8" s="5"/>
      <c r="AG8" s="5"/>
    </row>
    <row r="9" spans="1:33" ht="18" x14ac:dyDescent="0.25">
      <c r="A9" s="62">
        <v>0</v>
      </c>
      <c r="B9" s="249">
        <v>11.817299999999999</v>
      </c>
      <c r="C9" s="168">
        <v>0.27679999999999999</v>
      </c>
      <c r="D9" s="56">
        <f>AVERAGE(247,273)*10^5/0.1</f>
        <v>260000000</v>
      </c>
      <c r="E9" s="234">
        <f>H11+K12</f>
        <v>1.35</v>
      </c>
      <c r="F9" s="36"/>
      <c r="G9" s="200" t="s">
        <v>86</v>
      </c>
      <c r="H9" s="229">
        <v>0.42259999999999998</v>
      </c>
      <c r="I9" s="5"/>
      <c r="J9" s="196" t="s">
        <v>298</v>
      </c>
      <c r="K9" s="110"/>
      <c r="L9" s="110"/>
      <c r="M9" s="196" t="s">
        <v>306</v>
      </c>
      <c r="N9" s="199"/>
      <c r="P9" s="196" t="s">
        <v>89</v>
      </c>
      <c r="Q9" s="233"/>
      <c r="S9" s="196" t="s">
        <v>348</v>
      </c>
      <c r="T9" s="226">
        <f>Q14/N20</f>
        <v>1.2053513673770673</v>
      </c>
      <c r="V9" s="192" t="s">
        <v>315</v>
      </c>
      <c r="W9" s="33" t="s">
        <v>321</v>
      </c>
      <c r="X9" s="33" t="s">
        <v>80</v>
      </c>
      <c r="Y9" s="33" t="s">
        <v>317</v>
      </c>
      <c r="Z9" s="34" t="s">
        <v>81</v>
      </c>
      <c r="AA9" s="205" t="s">
        <v>217</v>
      </c>
      <c r="AB9" s="206" t="s">
        <v>83</v>
      </c>
      <c r="AC9" s="34" t="s">
        <v>392</v>
      </c>
    </row>
    <row r="10" spans="1:33" ht="18" thickBot="1" x14ac:dyDescent="0.3">
      <c r="A10" s="32">
        <v>3</v>
      </c>
      <c r="B10" s="245">
        <v>18.773599999999998</v>
      </c>
      <c r="C10" s="169">
        <v>2.2686999999999999</v>
      </c>
      <c r="D10" s="48">
        <f>AVERAGE(25,15)*10^5/0.1</f>
        <v>20000000</v>
      </c>
      <c r="E10" s="235">
        <f>E9-$H$16</f>
        <v>1.3284</v>
      </c>
      <c r="F10" s="36"/>
      <c r="G10" s="200" t="s">
        <v>304</v>
      </c>
      <c r="H10" s="229">
        <v>354.94557501183152</v>
      </c>
      <c r="I10" s="36"/>
      <c r="J10" s="199"/>
      <c r="K10" s="199"/>
      <c r="L10" s="199"/>
      <c r="M10" s="199"/>
      <c r="N10" s="199"/>
      <c r="P10" s="110"/>
      <c r="Q10" s="110"/>
      <c r="S10" s="196" t="s">
        <v>374</v>
      </c>
      <c r="T10" s="226">
        <f>Q14/N18</f>
        <v>1.2913122069367036</v>
      </c>
      <c r="V10" s="203" t="s">
        <v>79</v>
      </c>
      <c r="W10" s="53" t="s">
        <v>316</v>
      </c>
      <c r="X10" s="53" t="s">
        <v>78</v>
      </c>
      <c r="Y10" s="53" t="s">
        <v>318</v>
      </c>
      <c r="Z10" s="55" t="s">
        <v>319</v>
      </c>
      <c r="AA10" s="207" t="s">
        <v>323</v>
      </c>
      <c r="AB10" s="208" t="s">
        <v>322</v>
      </c>
      <c r="AC10" s="55"/>
    </row>
    <row r="11" spans="1:33" ht="18" x14ac:dyDescent="0.25">
      <c r="A11" s="32">
        <v>6</v>
      </c>
      <c r="B11" s="245">
        <v>17.146599999999999</v>
      </c>
      <c r="C11" s="169">
        <v>8.8511000000000006</v>
      </c>
      <c r="D11" s="48">
        <f>AVERAGE(140,170)*10^5/0.1</f>
        <v>155000000</v>
      </c>
      <c r="E11" s="235">
        <f t="shared" ref="E11:E21" si="0">E10-$H$16</f>
        <v>1.3068</v>
      </c>
      <c r="G11" s="109" t="s">
        <v>305</v>
      </c>
      <c r="H11" s="229">
        <f>(1500-H10)/1000</f>
        <v>1.1450544249881685</v>
      </c>
      <c r="I11" s="5"/>
      <c r="J11" s="109" t="s">
        <v>302</v>
      </c>
      <c r="K11" s="199">
        <v>6.8</v>
      </c>
      <c r="L11" s="110"/>
      <c r="M11" s="200" t="s">
        <v>307</v>
      </c>
      <c r="N11" s="230">
        <f>B21*E21</f>
        <v>0.22121423999999987</v>
      </c>
      <c r="P11" s="109" t="s">
        <v>312</v>
      </c>
      <c r="Q11" s="229">
        <f>C9*(E9)</f>
        <v>0.37368000000000001</v>
      </c>
      <c r="S11" s="196" t="s">
        <v>375</v>
      </c>
      <c r="T11" s="226">
        <f>Q14/(H9*H10)</f>
        <v>0.25965536399999989</v>
      </c>
      <c r="V11" s="30">
        <f t="shared" ref="V11:V20" si="1">A9</f>
        <v>0</v>
      </c>
      <c r="W11" s="249">
        <v>1.35</v>
      </c>
      <c r="X11" s="168">
        <f t="shared" ref="X11:X20" si="2">B9*W11</f>
        <v>15.953355</v>
      </c>
      <c r="Y11" s="210">
        <f>D9*X22</f>
        <v>390000000000</v>
      </c>
      <c r="Z11" s="239">
        <f t="shared" ref="Z11:Z20" si="3">C9*W11</f>
        <v>0.37368000000000001</v>
      </c>
      <c r="AA11" s="62"/>
      <c r="AB11" s="45"/>
      <c r="AC11" s="239">
        <f>LN(Z11)</f>
        <v>-0.98435546278828445</v>
      </c>
    </row>
    <row r="12" spans="1:33" ht="18" x14ac:dyDescent="0.25">
      <c r="A12" s="32">
        <v>9</v>
      </c>
      <c r="B12" s="245">
        <v>11.228999999999999</v>
      </c>
      <c r="C12" s="169">
        <v>16.677399999999999</v>
      </c>
      <c r="D12" s="48">
        <f>AVERAGE(40,71)*10^6/0.1</f>
        <v>555000000</v>
      </c>
      <c r="E12" s="235">
        <f t="shared" si="0"/>
        <v>1.2851999999999999</v>
      </c>
      <c r="G12" s="108" t="s">
        <v>94</v>
      </c>
      <c r="H12" s="50">
        <f>H10+H11*1000</f>
        <v>1500</v>
      </c>
      <c r="I12" s="5"/>
      <c r="J12" s="109" t="s">
        <v>301</v>
      </c>
      <c r="K12" s="229">
        <f>(1-H9)*H10/1000</f>
        <v>0.20494557501183153</v>
      </c>
      <c r="L12" s="110"/>
      <c r="M12" s="110"/>
      <c r="N12" s="199"/>
      <c r="P12" s="109" t="s">
        <v>313</v>
      </c>
      <c r="Q12" s="229">
        <f>C21*(E21)</f>
        <v>33.875557559999983</v>
      </c>
      <c r="V12" s="46">
        <f t="shared" si="1"/>
        <v>3</v>
      </c>
      <c r="W12" s="245">
        <v>1.3284</v>
      </c>
      <c r="X12" s="169">
        <f t="shared" si="2"/>
        <v>24.938850239999997</v>
      </c>
      <c r="Y12" s="54">
        <f>D10*(X22-COUNT($V$11:$V11)*0.024*1000)</f>
        <v>29520000000</v>
      </c>
      <c r="Z12" s="240">
        <f t="shared" si="3"/>
        <v>3.01374108</v>
      </c>
      <c r="AA12" s="243">
        <f>((A10-A9)/(A11-A9)*(C11-C10)/(A11-A10))+((C10-C9)/(A10-A9)*(A11-A10)/(A11-A9))</f>
        <v>1.4290500000000002</v>
      </c>
      <c r="AB12" s="211">
        <f>(AA12*0.9/1000)/D10</f>
        <v>6.4307249999999998E-11</v>
      </c>
      <c r="AC12" s="240">
        <f t="shared" ref="AC12:AC20" si="4">LN(Z12)</f>
        <v>1.1031821907411323</v>
      </c>
    </row>
    <row r="13" spans="1:33" x14ac:dyDescent="0.2">
      <c r="A13" s="32">
        <v>12</v>
      </c>
      <c r="B13" s="245">
        <v>5.8952999999999998</v>
      </c>
      <c r="C13" s="169">
        <v>22.0824</v>
      </c>
      <c r="D13" s="48">
        <f>AVERAGE(18,38)*10^6/0.1</f>
        <v>280000000</v>
      </c>
      <c r="E13" s="235">
        <f t="shared" si="0"/>
        <v>1.2635999999999998</v>
      </c>
      <c r="I13" s="5"/>
      <c r="J13" s="199"/>
      <c r="K13" s="199"/>
      <c r="L13" s="110"/>
      <c r="M13" s="110"/>
      <c r="N13" s="200"/>
      <c r="O13" s="5"/>
      <c r="P13" s="110"/>
      <c r="Q13" s="110"/>
      <c r="R13" s="36"/>
      <c r="S13" s="5"/>
      <c r="V13" s="46">
        <f t="shared" si="1"/>
        <v>6</v>
      </c>
      <c r="W13" s="245">
        <v>1.3068</v>
      </c>
      <c r="X13" s="169">
        <f t="shared" si="2"/>
        <v>22.407176879999998</v>
      </c>
      <c r="Y13" s="54">
        <f>D11*(X22-COUNT($V$11:$V12)*0.024*1000)</f>
        <v>225060000000</v>
      </c>
      <c r="Z13" s="240">
        <f t="shared" si="3"/>
        <v>11.56661748</v>
      </c>
      <c r="AA13" s="243">
        <f t="shared" ref="AA13:AA18" si="5">((A11-A10)/(A12-A10)*(C12-C11)/(A12-A11))+((C11-C10)/(A11-A10)*(A12-A11)/(A12-A10))</f>
        <v>2.4014499999999996</v>
      </c>
      <c r="AB13" s="211">
        <f t="shared" ref="AB13:AB19" si="6">(AA13*0.9/1000)/D11</f>
        <v>1.3943903225806449E-11</v>
      </c>
      <c r="AC13" s="240">
        <f t="shared" si="4"/>
        <v>2.4481231458260946</v>
      </c>
    </row>
    <row r="14" spans="1:33" ht="18" x14ac:dyDescent="0.25">
      <c r="A14" s="32">
        <v>15</v>
      </c>
      <c r="B14" s="245">
        <v>1.792</v>
      </c>
      <c r="C14" s="169">
        <v>25.628799999999998</v>
      </c>
      <c r="D14" s="48">
        <f>AVERAGE(39,53)*10^6/0.1</f>
        <v>460000000</v>
      </c>
      <c r="E14" s="235">
        <f t="shared" si="0"/>
        <v>1.2419999999999998</v>
      </c>
      <c r="G14" s="108" t="s">
        <v>309</v>
      </c>
      <c r="H14" s="50"/>
      <c r="J14" s="109" t="s">
        <v>303</v>
      </c>
      <c r="K14" s="229">
        <f>(10*243.364/1000+K11*K12)/(E9)</f>
        <v>2.8350147482077439</v>
      </c>
      <c r="L14" s="110"/>
      <c r="M14" s="196" t="s">
        <v>327</v>
      </c>
      <c r="N14" s="200"/>
      <c r="O14" s="5"/>
      <c r="P14" s="196" t="s">
        <v>314</v>
      </c>
      <c r="Q14" s="233">
        <f>Q12-Q11+H18</f>
        <v>38.948304599999986</v>
      </c>
      <c r="R14" s="36"/>
      <c r="S14" s="5"/>
      <c r="U14" s="36"/>
      <c r="V14" s="46">
        <f t="shared" si="1"/>
        <v>9</v>
      </c>
      <c r="W14" s="245">
        <v>1.2851999999999999</v>
      </c>
      <c r="X14" s="169">
        <f t="shared" si="2"/>
        <v>14.431510799999998</v>
      </c>
      <c r="Y14" s="54">
        <f>D12*(X22-COUNT($V$11:$V13)*0.024*1000)</f>
        <v>792540000000</v>
      </c>
      <c r="Z14" s="240">
        <f t="shared" si="3"/>
        <v>21.433794479999996</v>
      </c>
      <c r="AA14" s="243">
        <f t="shared" si="5"/>
        <v>2.2052166666666664</v>
      </c>
      <c r="AB14" s="211">
        <f t="shared" si="6"/>
        <v>3.5760270270270266E-12</v>
      </c>
      <c r="AC14" s="240">
        <f t="shared" si="4"/>
        <v>3.0649688577405896</v>
      </c>
    </row>
    <row r="15" spans="1:33" ht="17" x14ac:dyDescent="0.25">
      <c r="A15" s="32">
        <v>21</v>
      </c>
      <c r="B15" s="245">
        <v>0.1061</v>
      </c>
      <c r="C15" s="169">
        <v>28.386199999999999</v>
      </c>
      <c r="D15" s="48">
        <f>AVERAGE(29,32)*10^6/0.1</f>
        <v>305000000</v>
      </c>
      <c r="E15" s="235">
        <f t="shared" si="0"/>
        <v>1.2203999999999997</v>
      </c>
      <c r="G15" s="199" t="s">
        <v>95</v>
      </c>
      <c r="H15" s="199">
        <f>COUNT(A9:A18)</f>
        <v>10</v>
      </c>
      <c r="J15" s="109" t="s">
        <v>300</v>
      </c>
      <c r="K15" s="230">
        <f>10*243.364/1000+K11*K12</f>
        <v>3.8272699100804544</v>
      </c>
      <c r="L15" s="110"/>
      <c r="M15" s="110"/>
      <c r="N15" s="199"/>
      <c r="O15" s="5"/>
      <c r="P15" s="5"/>
      <c r="Q15" s="5"/>
      <c r="R15" s="5"/>
      <c r="S15" s="5"/>
      <c r="U15" s="5"/>
      <c r="V15" s="46">
        <f t="shared" si="1"/>
        <v>12</v>
      </c>
      <c r="W15" s="245">
        <v>1.2635999999999998</v>
      </c>
      <c r="X15" s="169">
        <f t="shared" si="2"/>
        <v>7.4493010799999988</v>
      </c>
      <c r="Y15" s="54">
        <f>D13*(X22-COUNT($V$11:$V14)*0.024*1000)</f>
        <v>393120000000</v>
      </c>
      <c r="Z15" s="240">
        <f t="shared" si="3"/>
        <v>27.903320639999997</v>
      </c>
      <c r="AA15" s="243">
        <f t="shared" si="5"/>
        <v>1.4918999999999998</v>
      </c>
      <c r="AB15" s="211">
        <f t="shared" si="6"/>
        <v>4.7953928571428567E-12</v>
      </c>
      <c r="AC15" s="240">
        <f t="shared" si="4"/>
        <v>3.3287457010999169</v>
      </c>
    </row>
    <row r="16" spans="1:33" ht="17" x14ac:dyDescent="0.2">
      <c r="A16" s="264">
        <v>24</v>
      </c>
      <c r="B16" s="252">
        <v>1.5299999999999999E-2</v>
      </c>
      <c r="C16" s="253">
        <v>28.356000000000002</v>
      </c>
      <c r="D16" s="258">
        <f>AVERAGE(56,29)*10^6/0.1</f>
        <v>425000000</v>
      </c>
      <c r="E16" s="259">
        <f t="shared" si="0"/>
        <v>1.1987999999999996</v>
      </c>
      <c r="G16" s="199" t="s">
        <v>96</v>
      </c>
      <c r="H16" s="199">
        <f>0.9*0.024</f>
        <v>2.1600000000000001E-2</v>
      </c>
      <c r="J16" s="110"/>
      <c r="K16" s="110"/>
      <c r="L16" s="110"/>
      <c r="M16" s="200" t="s">
        <v>328</v>
      </c>
      <c r="N16" s="229">
        <f>AVERAGE('4 Amount of released glucose'!D10:D18)*'7 30% adapt. X=5mg'!H9*'7 30% adapt. X=5mg'!H10</f>
        <v>87.296317767830757</v>
      </c>
      <c r="O16" s="197"/>
      <c r="P16" s="5"/>
      <c r="Q16" s="5"/>
      <c r="R16" s="36"/>
      <c r="S16" s="197"/>
      <c r="U16" s="36"/>
      <c r="V16" s="46">
        <f t="shared" si="1"/>
        <v>15</v>
      </c>
      <c r="W16" s="245">
        <v>1.2419999999999998</v>
      </c>
      <c r="X16" s="169">
        <f t="shared" si="2"/>
        <v>2.2256639999999996</v>
      </c>
      <c r="Y16" s="54">
        <f>D14*(X22-COUNT($V$11:$V15)*0.024*1000)</f>
        <v>634800000000</v>
      </c>
      <c r="Z16" s="240">
        <f t="shared" si="3"/>
        <v>31.830969599999992</v>
      </c>
      <c r="AA16" s="243">
        <f t="shared" si="5"/>
        <v>0.94127777777777744</v>
      </c>
      <c r="AB16" s="211">
        <f t="shared" si="6"/>
        <v>1.8416304347826082E-12</v>
      </c>
      <c r="AC16" s="240">
        <f t="shared" si="4"/>
        <v>3.4604397026585128</v>
      </c>
    </row>
    <row r="17" spans="1:29" ht="17" x14ac:dyDescent="0.25">
      <c r="A17" s="32">
        <v>27</v>
      </c>
      <c r="B17" s="245">
        <v>0.15379999999999999</v>
      </c>
      <c r="C17" s="169">
        <v>28.657299999999999</v>
      </c>
      <c r="D17" s="48">
        <f>1*10^5/0.1</f>
        <v>1000000</v>
      </c>
      <c r="E17" s="235">
        <f t="shared" si="0"/>
        <v>1.1771999999999996</v>
      </c>
      <c r="G17" s="200" t="s">
        <v>97</v>
      </c>
      <c r="H17" s="230">
        <f>H16*(SUM(B9:B20))</f>
        <v>1.4550364800000002</v>
      </c>
      <c r="J17" s="110"/>
      <c r="K17" s="110"/>
      <c r="L17" s="110"/>
      <c r="M17" s="200" t="s">
        <v>329</v>
      </c>
      <c r="N17" s="229">
        <f>AVERAGE('4 Amount of released glucose'!D55:D63)*'7 30% adapt. X=5mg'!H9*'7 30% adapt. X=5mg'!H10</f>
        <v>57.134514610719336</v>
      </c>
      <c r="O17" s="36"/>
      <c r="P17" s="5"/>
      <c r="Q17" s="5"/>
      <c r="R17" s="36"/>
      <c r="S17" s="36"/>
      <c r="U17" s="5"/>
      <c r="V17" s="46">
        <f t="shared" si="1"/>
        <v>21</v>
      </c>
      <c r="W17" s="245">
        <v>1.2203999999999997</v>
      </c>
      <c r="X17" s="169">
        <f t="shared" si="2"/>
        <v>0.12948443999999998</v>
      </c>
      <c r="Y17" s="54">
        <f>D15*(X22-COUNT($V$11:$V16)*0.024*1000)</f>
        <v>413580000000</v>
      </c>
      <c r="Z17" s="240">
        <f t="shared" si="3"/>
        <v>34.642518479999993</v>
      </c>
      <c r="AA17" s="243">
        <f t="shared" si="5"/>
        <v>0.14647777777777846</v>
      </c>
      <c r="AB17" s="211">
        <f t="shared" si="6"/>
        <v>4.3222950819672331E-13</v>
      </c>
      <c r="AC17" s="240">
        <f t="shared" si="4"/>
        <v>3.5450817854393892</v>
      </c>
    </row>
    <row r="18" spans="1:29" x14ac:dyDescent="0.2">
      <c r="A18" s="32">
        <v>30</v>
      </c>
      <c r="B18" s="245">
        <v>0.1547</v>
      </c>
      <c r="C18" s="169">
        <v>30.0182</v>
      </c>
      <c r="D18" s="48">
        <v>0</v>
      </c>
      <c r="E18" s="235">
        <f t="shared" si="0"/>
        <v>1.1555999999999995</v>
      </c>
      <c r="G18" s="200" t="s">
        <v>98</v>
      </c>
      <c r="H18" s="230">
        <f>H16*(SUM(C9:C20))</f>
        <v>5.4464270399999997</v>
      </c>
      <c r="I18" s="5"/>
      <c r="J18" s="110"/>
      <c r="K18" s="110"/>
      <c r="L18" s="110"/>
      <c r="M18" s="200" t="s">
        <v>330</v>
      </c>
      <c r="N18" s="230">
        <f>N16-N17</f>
        <v>30.161803157111422</v>
      </c>
      <c r="O18" s="5"/>
      <c r="P18" s="5"/>
      <c r="Q18" s="5"/>
      <c r="R18" s="5"/>
      <c r="S18" s="5"/>
      <c r="U18" s="5"/>
      <c r="V18" s="251">
        <f t="shared" si="1"/>
        <v>24</v>
      </c>
      <c r="W18" s="252">
        <v>1.1987999999999996</v>
      </c>
      <c r="X18" s="253">
        <f t="shared" si="2"/>
        <v>1.8341639999999992E-2</v>
      </c>
      <c r="Y18" s="254">
        <f>D16*(X22-COUNT($V$11:$V17)*0.024*1000)</f>
        <v>566100000000</v>
      </c>
      <c r="Z18" s="255">
        <f t="shared" si="3"/>
        <v>33.993172799999989</v>
      </c>
      <c r="AA18" s="256">
        <f t="shared" si="5"/>
        <v>4.5183333333333422E-2</v>
      </c>
      <c r="AB18" s="257">
        <f t="shared" si="6"/>
        <v>9.5682352941176676E-14</v>
      </c>
      <c r="AC18" s="255">
        <f t="shared" si="4"/>
        <v>3.5261597044531419</v>
      </c>
    </row>
    <row r="19" spans="1:29" x14ac:dyDescent="0.2">
      <c r="A19" s="32">
        <v>33</v>
      </c>
      <c r="B19" s="245">
        <v>0.15079999999999999</v>
      </c>
      <c r="C19" s="169">
        <v>30.3809</v>
      </c>
      <c r="D19" s="6"/>
      <c r="E19" s="235">
        <f t="shared" si="0"/>
        <v>1.1339999999999995</v>
      </c>
      <c r="H19" s="36"/>
      <c r="I19" s="5"/>
      <c r="J19" s="110"/>
      <c r="K19" s="110"/>
      <c r="L19" s="110"/>
      <c r="M19" s="110"/>
      <c r="N19" s="199"/>
      <c r="O19" s="5"/>
      <c r="P19" s="5"/>
      <c r="Q19" s="5"/>
      <c r="R19" s="5"/>
      <c r="S19" s="5"/>
      <c r="V19" s="46">
        <f t="shared" si="1"/>
        <v>27</v>
      </c>
      <c r="W19" s="245">
        <v>1.1771999999999996</v>
      </c>
      <c r="X19" s="169">
        <f t="shared" si="2"/>
        <v>0.18105335999999991</v>
      </c>
      <c r="Y19" s="54">
        <f>D17*(X22-COUNT($V$11:$V18)*0.024*1000)</f>
        <v>1308000000</v>
      </c>
      <c r="Z19" s="240">
        <f t="shared" si="3"/>
        <v>33.735373559999985</v>
      </c>
      <c r="AA19" s="243">
        <f>((A17-A16)/(A18-A16)*(C18-C17)/(A18-A17))+((C17-C16)/(A17-A16)*(A18-A17)/(A18-A16))</f>
        <v>0.27703333333333308</v>
      </c>
      <c r="AB19" s="211">
        <f t="shared" si="6"/>
        <v>2.4932999999999975E-10</v>
      </c>
      <c r="AC19" s="240">
        <f t="shared" si="4"/>
        <v>3.5185469473840194</v>
      </c>
    </row>
    <row r="20" spans="1:29" ht="16" thickBot="1" x14ac:dyDescent="0.25">
      <c r="A20" s="32">
        <v>36</v>
      </c>
      <c r="B20" s="245">
        <v>0.1283</v>
      </c>
      <c r="C20" s="169">
        <v>30.5656</v>
      </c>
      <c r="D20" s="6"/>
      <c r="E20" s="235">
        <f t="shared" si="0"/>
        <v>1.1123999999999994</v>
      </c>
      <c r="J20" s="110"/>
      <c r="K20" s="110"/>
      <c r="L20" s="110"/>
      <c r="M20" s="196" t="s">
        <v>347</v>
      </c>
      <c r="N20" s="233">
        <f>N18+K15-N11-H17</f>
        <v>32.312822347191876</v>
      </c>
      <c r="O20" s="5"/>
      <c r="P20" s="5"/>
      <c r="Q20" s="5"/>
      <c r="R20" s="5"/>
      <c r="S20" s="5"/>
      <c r="V20" s="31">
        <f t="shared" si="1"/>
        <v>30</v>
      </c>
      <c r="W20" s="246">
        <v>1.1555999999999995</v>
      </c>
      <c r="X20" s="238">
        <f t="shared" si="2"/>
        <v>0.17877131999999993</v>
      </c>
      <c r="Y20" s="65">
        <f>D18*(X22-COUNT($V$11:$V19)*0.024*1000)</f>
        <v>0</v>
      </c>
      <c r="Z20" s="242">
        <f t="shared" si="3"/>
        <v>34.689031919999984</v>
      </c>
      <c r="AA20" s="217"/>
      <c r="AB20" s="218"/>
      <c r="AC20" s="242">
        <f t="shared" si="4"/>
        <v>3.5464235539909352</v>
      </c>
    </row>
    <row r="21" spans="1:29" ht="18" thickBot="1" x14ac:dyDescent="0.25">
      <c r="A21" s="42">
        <v>53</v>
      </c>
      <c r="B21" s="246">
        <v>0.20280000000000001</v>
      </c>
      <c r="C21" s="238">
        <v>31.055700000000002</v>
      </c>
      <c r="D21" s="9"/>
      <c r="E21" s="236">
        <f t="shared" si="0"/>
        <v>1.0907999999999993</v>
      </c>
      <c r="J21" s="197"/>
      <c r="K21" s="5"/>
      <c r="L21" s="5"/>
      <c r="M21" s="5"/>
      <c r="N21" s="36"/>
      <c r="O21" s="5"/>
      <c r="P21" s="5"/>
      <c r="Q21" s="5"/>
      <c r="R21" s="5"/>
      <c r="S21" s="5"/>
      <c r="AA21" s="205"/>
      <c r="AB21" s="206"/>
    </row>
    <row r="22" spans="1:29" ht="18" thickBot="1" x14ac:dyDescent="0.25">
      <c r="J22" s="36"/>
      <c r="K22" s="36"/>
      <c r="L22" s="36"/>
      <c r="M22" s="5"/>
      <c r="N22" s="36"/>
      <c r="O22" s="36"/>
      <c r="P22" s="5"/>
      <c r="Q22" s="5"/>
      <c r="R22" s="36"/>
      <c r="S22" s="5"/>
      <c r="T22" s="49"/>
      <c r="V22" s="44" t="s">
        <v>94</v>
      </c>
      <c r="W22" s="59"/>
      <c r="X22" s="60">
        <f>H11*1000+H10</f>
        <v>1500</v>
      </c>
      <c r="Z22" s="10" t="s">
        <v>93</v>
      </c>
      <c r="AA22" s="301">
        <f>MAX(AA12:AA17)</f>
        <v>2.4014499999999996</v>
      </c>
      <c r="AB22" s="302">
        <f>MAX(AB12:AB17)</f>
        <v>6.4307249999999998E-11</v>
      </c>
    </row>
    <row r="23" spans="1:29" ht="18" thickBot="1" x14ac:dyDescent="0.25">
      <c r="A23" s="11" t="s">
        <v>296</v>
      </c>
      <c r="B23" s="10"/>
      <c r="D23" s="222"/>
      <c r="J23" s="5"/>
      <c r="K23" s="5"/>
      <c r="L23" s="5"/>
      <c r="M23" s="5"/>
      <c r="N23" s="5"/>
      <c r="O23" s="5"/>
      <c r="P23" s="5"/>
      <c r="Q23" s="5"/>
      <c r="R23" s="5"/>
      <c r="S23" s="5"/>
      <c r="Z23" s="10" t="s">
        <v>99</v>
      </c>
      <c r="AA23" s="303">
        <f>(C16-C9)/A16</f>
        <v>1.1699666666666666</v>
      </c>
      <c r="AB23" s="304">
        <f>AVERAGE(AB12:AB17)</f>
        <v>1.4816072175492614E-11</v>
      </c>
    </row>
    <row r="24" spans="1:29" ht="17" x14ac:dyDescent="0.2">
      <c r="A24" s="49" t="s">
        <v>297</v>
      </c>
      <c r="J24" s="36"/>
      <c r="K24" s="5"/>
      <c r="L24" s="5"/>
      <c r="M24" s="5"/>
      <c r="N24" s="5"/>
      <c r="O24" s="5"/>
      <c r="P24" s="5"/>
      <c r="Q24" s="5"/>
      <c r="R24" s="5"/>
      <c r="S24" s="5"/>
      <c r="W24" s="5"/>
      <c r="X24" s="5"/>
      <c r="Y24" s="39"/>
    </row>
    <row r="25" spans="1:29" ht="17" x14ac:dyDescent="0.2">
      <c r="A25" s="49" t="s">
        <v>299</v>
      </c>
      <c r="J25" s="36"/>
      <c r="K25" s="5"/>
      <c r="L25" s="5"/>
      <c r="M25" s="5"/>
      <c r="N25" s="36"/>
      <c r="O25" s="197"/>
      <c r="P25" s="5"/>
      <c r="Q25" s="5"/>
      <c r="R25" s="36"/>
      <c r="S25" s="36"/>
      <c r="W25" s="5"/>
      <c r="X25" s="5"/>
      <c r="Y25" s="5"/>
    </row>
    <row r="26" spans="1:29" ht="17" x14ac:dyDescent="0.2">
      <c r="A26" s="49" t="s">
        <v>385</v>
      </c>
      <c r="N26" s="36"/>
      <c r="O26" s="36"/>
      <c r="P26" s="5"/>
      <c r="Q26" s="5"/>
      <c r="R26" s="36"/>
      <c r="S26" s="36"/>
    </row>
    <row r="27" spans="1:29" ht="17" x14ac:dyDescent="0.2">
      <c r="A27" s="49" t="s">
        <v>308</v>
      </c>
      <c r="J27" s="36"/>
      <c r="K27" s="5"/>
      <c r="L27" s="5"/>
      <c r="M27" s="5"/>
      <c r="N27" s="5"/>
      <c r="O27" s="5"/>
      <c r="P27" s="5"/>
      <c r="Q27" s="5"/>
    </row>
    <row r="28" spans="1:29" ht="17" x14ac:dyDescent="0.2">
      <c r="A28" s="49" t="s">
        <v>320</v>
      </c>
      <c r="J28" s="5"/>
      <c r="K28" s="36"/>
      <c r="L28" s="36"/>
      <c r="M28" s="5"/>
      <c r="N28" s="5"/>
      <c r="O28" s="5"/>
      <c r="P28" s="5"/>
      <c r="Q28" s="5"/>
    </row>
    <row r="29" spans="1:29" x14ac:dyDescent="0.2">
      <c r="J29" s="5"/>
      <c r="K29" s="5"/>
      <c r="L29" s="5"/>
      <c r="M29" s="5"/>
    </row>
    <row r="32" spans="1:29" x14ac:dyDescent="0.2">
      <c r="J32" s="10"/>
    </row>
    <row r="34" spans="10:10" ht="17" x14ac:dyDescent="0.2">
      <c r="J34" s="49"/>
    </row>
    <row r="35" spans="10:10" ht="17" x14ac:dyDescent="0.2">
      <c r="J35" s="49"/>
    </row>
  </sheetData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R71"/>
  <sheetViews>
    <sheetView topLeftCell="T45" zoomScaleNormal="100" workbookViewId="0">
      <selection activeCell="AA57" sqref="AA57"/>
    </sheetView>
  </sheetViews>
  <sheetFormatPr baseColWidth="10" defaultColWidth="8.83203125" defaultRowHeight="15" x14ac:dyDescent="0.2"/>
  <cols>
    <col min="1" max="1" width="13.5" style="11" customWidth="1"/>
    <col min="2" max="3" width="8.83203125" style="11"/>
    <col min="4" max="4" width="9.83203125" style="11" bestFit="1" customWidth="1"/>
    <col min="5" max="5" width="13.6640625" style="11" bestFit="1" customWidth="1"/>
    <col min="6" max="6" width="8.83203125" style="11"/>
    <col min="7" max="7" width="24.5" style="11" bestFit="1" customWidth="1"/>
    <col min="8" max="8" width="12.1640625" style="11" customWidth="1"/>
    <col min="9" max="9" width="11.1640625" style="11" bestFit="1" customWidth="1"/>
    <col min="10" max="10" width="32.1640625" style="11" bestFit="1" customWidth="1"/>
    <col min="11" max="11" width="8.83203125" style="11"/>
    <col min="12" max="12" width="4.1640625" style="11" customWidth="1"/>
    <col min="13" max="13" width="37.6640625" style="11" bestFit="1" customWidth="1"/>
    <col min="14" max="15" width="8.83203125" style="11"/>
    <col min="16" max="16" width="24" style="11" bestFit="1" customWidth="1"/>
    <col min="17" max="18" width="8.83203125" style="11"/>
    <col min="19" max="19" width="30.5" style="11" bestFit="1" customWidth="1"/>
    <col min="20" max="21" width="8.83203125" style="11"/>
    <col min="22" max="22" width="13.33203125" style="11" bestFit="1" customWidth="1"/>
    <col min="23" max="23" width="22.5" style="11" bestFit="1" customWidth="1"/>
    <col min="24" max="25" width="8.83203125" style="11"/>
    <col min="26" max="26" width="19.33203125" style="11" bestFit="1" customWidth="1"/>
    <col min="27" max="27" width="22.5" style="11" bestFit="1" customWidth="1"/>
    <col min="28" max="28" width="19.33203125" style="11" bestFit="1" customWidth="1"/>
    <col min="29" max="29" width="13.1640625" style="11" bestFit="1" customWidth="1"/>
    <col min="30" max="30" width="25.33203125" style="11" bestFit="1" customWidth="1"/>
    <col min="31" max="32" width="18.83203125" style="11" bestFit="1" customWidth="1"/>
    <col min="33" max="37" width="8.83203125" style="11"/>
    <col min="38" max="38" width="10.1640625" style="11" bestFit="1" customWidth="1"/>
    <col min="39" max="39" width="10.1640625" style="11" customWidth="1"/>
    <col min="40" max="40" width="12" style="11" bestFit="1" customWidth="1"/>
    <col min="41" max="41" width="16.33203125" style="11" bestFit="1" customWidth="1"/>
    <col min="42" max="42" width="19.1640625" style="11" bestFit="1" customWidth="1"/>
    <col min="43" max="43" width="18.6640625" style="11" customWidth="1"/>
    <col min="44" max="16384" width="8.83203125" style="11"/>
  </cols>
  <sheetData>
    <row r="1" spans="1:44" x14ac:dyDescent="0.2">
      <c r="A1" s="190" t="s">
        <v>337</v>
      </c>
      <c r="B1" s="191"/>
      <c r="C1" s="191"/>
      <c r="D1" s="191"/>
      <c r="E1" s="191"/>
    </row>
    <row r="3" spans="1:44" x14ac:dyDescent="0.2">
      <c r="A3" s="10" t="s">
        <v>291</v>
      </c>
    </row>
    <row r="4" spans="1:44" x14ac:dyDescent="0.2">
      <c r="B4" s="5" t="s">
        <v>211</v>
      </c>
      <c r="C4" s="51" t="s">
        <v>92</v>
      </c>
    </row>
    <row r="5" spans="1:44" x14ac:dyDescent="0.2">
      <c r="B5" s="5" t="s">
        <v>214</v>
      </c>
      <c r="C5" s="51" t="s">
        <v>91</v>
      </c>
    </row>
    <row r="7" spans="1:44" x14ac:dyDescent="0.2">
      <c r="A7" s="195" t="s">
        <v>338</v>
      </c>
      <c r="B7" s="51"/>
    </row>
    <row r="8" spans="1:44" x14ac:dyDescent="0.2">
      <c r="A8" s="195"/>
      <c r="B8" s="51"/>
      <c r="P8" s="5"/>
      <c r="Q8" s="5"/>
      <c r="R8" s="5"/>
      <c r="S8" s="5"/>
      <c r="T8" s="5"/>
      <c r="U8" s="5"/>
      <c r="V8" s="5"/>
      <c r="W8" s="5"/>
      <c r="X8" s="5"/>
      <c r="Y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x14ac:dyDescent="0.2">
      <c r="P9" s="36"/>
      <c r="Q9" s="5"/>
      <c r="R9" s="5"/>
      <c r="S9" s="5"/>
      <c r="T9" s="36"/>
      <c r="U9" s="5"/>
      <c r="V9" s="5"/>
      <c r="W9" s="5"/>
      <c r="X9" s="5"/>
      <c r="Y9" s="5"/>
      <c r="AD9" s="5"/>
      <c r="AE9" s="5"/>
      <c r="AF9" s="5"/>
      <c r="AG9" s="5"/>
      <c r="AH9" s="5"/>
      <c r="AI9" s="5"/>
      <c r="AJ9" s="5"/>
      <c r="AK9" s="36"/>
      <c r="AL9" s="36"/>
      <c r="AM9" s="5"/>
      <c r="AN9" s="5"/>
      <c r="AO9" s="5"/>
      <c r="AP9" s="36"/>
      <c r="AQ9" s="37"/>
      <c r="AR9" s="5"/>
    </row>
    <row r="10" spans="1:44" ht="16" thickBot="1" x14ac:dyDescent="0.25">
      <c r="A10" s="10" t="s">
        <v>84</v>
      </c>
      <c r="H10" s="36"/>
      <c r="I10" s="5"/>
      <c r="J10" s="10" t="s">
        <v>88</v>
      </c>
      <c r="P10" s="36"/>
      <c r="Q10" s="5"/>
      <c r="R10" s="5"/>
      <c r="S10" s="5"/>
      <c r="T10" s="36"/>
      <c r="U10" s="5"/>
      <c r="V10" s="5"/>
      <c r="W10" s="36"/>
      <c r="X10" s="5"/>
      <c r="Y10" s="5"/>
      <c r="Z10" s="36"/>
      <c r="AA10" s="5"/>
      <c r="AB10" s="5"/>
      <c r="AC10" s="5"/>
      <c r="AD10" s="5"/>
      <c r="AE10" s="28"/>
      <c r="AF10" s="5"/>
      <c r="AG10" s="5"/>
      <c r="AH10" s="5"/>
      <c r="AI10" s="5"/>
      <c r="AJ10" s="5"/>
      <c r="AK10" s="5"/>
      <c r="AL10" s="36"/>
      <c r="AM10" s="5"/>
      <c r="AN10" s="5"/>
      <c r="AO10" s="5"/>
      <c r="AP10" s="36"/>
      <c r="AQ10" s="37"/>
      <c r="AR10" s="5"/>
    </row>
    <row r="11" spans="1:44" x14ac:dyDescent="0.2">
      <c r="A11" s="43" t="s">
        <v>293</v>
      </c>
      <c r="B11" s="43" t="s">
        <v>80</v>
      </c>
      <c r="C11" s="33" t="s">
        <v>81</v>
      </c>
      <c r="D11" s="34" t="s">
        <v>295</v>
      </c>
      <c r="E11" s="192" t="s">
        <v>381</v>
      </c>
      <c r="I11" s="5"/>
      <c r="P11" s="198" t="s">
        <v>311</v>
      </c>
      <c r="Q11" s="5"/>
      <c r="R11" s="5"/>
      <c r="S11" s="198" t="s">
        <v>82</v>
      </c>
      <c r="T11" s="5"/>
      <c r="U11" s="5"/>
      <c r="V11" s="198" t="s">
        <v>90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36"/>
      <c r="AL11" s="36"/>
      <c r="AM11" s="36"/>
      <c r="AN11" s="36"/>
      <c r="AO11" s="36"/>
      <c r="AP11" s="5"/>
      <c r="AQ11" s="5"/>
      <c r="AR11" s="5"/>
    </row>
    <row r="12" spans="1:44" ht="18" thickBot="1" x14ac:dyDescent="0.25">
      <c r="A12" s="61" t="s">
        <v>79</v>
      </c>
      <c r="B12" s="61" t="s">
        <v>76</v>
      </c>
      <c r="C12" s="53" t="s">
        <v>76</v>
      </c>
      <c r="D12" s="55" t="s">
        <v>294</v>
      </c>
      <c r="E12" s="203" t="s">
        <v>382</v>
      </c>
      <c r="G12" s="108" t="s">
        <v>87</v>
      </c>
      <c r="H12" s="50"/>
      <c r="I12" s="36"/>
      <c r="J12" s="198" t="s">
        <v>310</v>
      </c>
      <c r="Q12" s="197"/>
      <c r="R12" s="5"/>
      <c r="S12" s="197"/>
      <c r="T12" s="5"/>
      <c r="U12" s="197"/>
      <c r="V12" s="36"/>
      <c r="W12" s="5"/>
      <c r="X12" s="36"/>
      <c r="Y12" s="36"/>
      <c r="Z12" s="5"/>
      <c r="AA12" s="36"/>
      <c r="AB12" s="36"/>
      <c r="AC12" s="36"/>
      <c r="AD12" s="5"/>
      <c r="AE12" s="195"/>
      <c r="AF12" s="5"/>
      <c r="AG12" s="5"/>
      <c r="AH12" s="5"/>
      <c r="AI12" s="5"/>
      <c r="AJ12" s="5"/>
      <c r="AK12" s="5"/>
      <c r="AL12" s="5"/>
      <c r="AM12" s="5"/>
      <c r="AN12" s="40"/>
      <c r="AO12" s="5"/>
      <c r="AP12" s="5"/>
      <c r="AQ12" s="28"/>
      <c r="AR12" s="5"/>
    </row>
    <row r="13" spans="1:44" ht="18" x14ac:dyDescent="0.25">
      <c r="A13" s="62">
        <v>0</v>
      </c>
      <c r="B13" s="249">
        <v>9.2693999999999992</v>
      </c>
      <c r="C13" s="168">
        <v>0.33979999999999999</v>
      </c>
      <c r="D13" s="56">
        <v>103000000</v>
      </c>
      <c r="E13" s="239">
        <f>H15+K16</f>
        <v>1.35</v>
      </c>
      <c r="F13" s="54"/>
      <c r="G13" s="200" t="s">
        <v>86</v>
      </c>
      <c r="H13" s="229">
        <v>0.42259999999999998</v>
      </c>
      <c r="I13" s="5"/>
      <c r="J13" s="196" t="s">
        <v>298</v>
      </c>
      <c r="K13" s="110"/>
      <c r="L13" s="110"/>
      <c r="M13" s="196" t="s">
        <v>306</v>
      </c>
      <c r="N13" s="199"/>
      <c r="P13" s="196" t="s">
        <v>89</v>
      </c>
      <c r="Q13" s="196"/>
      <c r="R13" s="5"/>
      <c r="S13" s="196" t="s">
        <v>348</v>
      </c>
      <c r="T13" s="226">
        <f>Q18/N24</f>
        <v>0.90633395190789046</v>
      </c>
      <c r="U13" s="36"/>
      <c r="V13" s="192" t="s">
        <v>315</v>
      </c>
      <c r="W13" s="33" t="s">
        <v>321</v>
      </c>
      <c r="X13" s="33" t="s">
        <v>80</v>
      </c>
      <c r="Y13" s="33" t="s">
        <v>317</v>
      </c>
      <c r="Z13" s="34" t="s">
        <v>81</v>
      </c>
      <c r="AA13" s="205" t="s">
        <v>217</v>
      </c>
      <c r="AB13" s="206" t="s">
        <v>83</v>
      </c>
      <c r="AC13" s="33" t="s">
        <v>392</v>
      </c>
      <c r="AD13" s="34" t="s">
        <v>396</v>
      </c>
      <c r="AE13" s="5"/>
      <c r="AF13" s="5"/>
      <c r="AG13" s="5"/>
      <c r="AH13" s="5"/>
      <c r="AI13" s="5"/>
      <c r="AJ13" s="5"/>
      <c r="AK13" s="5"/>
      <c r="AL13" s="40"/>
      <c r="AM13" s="5"/>
      <c r="AN13" s="216"/>
      <c r="AO13" s="212"/>
      <c r="AP13" s="5"/>
    </row>
    <row r="14" spans="1:44" ht="18" thickBot="1" x14ac:dyDescent="0.3">
      <c r="A14" s="32">
        <v>3</v>
      </c>
      <c r="B14" s="245">
        <v>13.7064</v>
      </c>
      <c r="C14" s="169">
        <v>5.3726000000000003</v>
      </c>
      <c r="D14" s="48">
        <v>103000000</v>
      </c>
      <c r="E14" s="240">
        <f t="shared" ref="E14:E23" si="0">E13-$H$20</f>
        <v>1.3284</v>
      </c>
      <c r="F14" s="54"/>
      <c r="G14" s="200" t="s">
        <v>304</v>
      </c>
      <c r="H14" s="229">
        <v>354.94557501183152</v>
      </c>
      <c r="I14" s="5"/>
      <c r="J14" s="199"/>
      <c r="K14" s="199"/>
      <c r="L14" s="199"/>
      <c r="M14" s="199"/>
      <c r="N14" s="199"/>
      <c r="P14" s="110"/>
      <c r="Q14" s="110"/>
      <c r="R14" s="5"/>
      <c r="S14" s="196" t="s">
        <v>374</v>
      </c>
      <c r="T14" s="226">
        <f>Q18/N22</f>
        <v>0.97975128908614673</v>
      </c>
      <c r="U14" s="5"/>
      <c r="V14" s="203" t="s">
        <v>79</v>
      </c>
      <c r="W14" s="53" t="s">
        <v>316</v>
      </c>
      <c r="X14" s="53" t="s">
        <v>78</v>
      </c>
      <c r="Y14" s="53" t="s">
        <v>318</v>
      </c>
      <c r="Z14" s="55" t="s">
        <v>319</v>
      </c>
      <c r="AA14" s="207" t="s">
        <v>323</v>
      </c>
      <c r="AB14" s="208" t="s">
        <v>322</v>
      </c>
      <c r="AC14" s="53"/>
      <c r="AD14" s="55"/>
      <c r="AE14" s="5"/>
      <c r="AF14" s="5"/>
      <c r="AG14" s="5"/>
      <c r="AH14" s="5"/>
      <c r="AI14" s="5"/>
      <c r="AJ14" s="5"/>
      <c r="AK14" s="5"/>
      <c r="AL14" s="40"/>
      <c r="AM14" s="5"/>
      <c r="AN14" s="216"/>
      <c r="AO14" s="212"/>
      <c r="AP14" s="5"/>
    </row>
    <row r="15" spans="1:44" ht="18" x14ac:dyDescent="0.25">
      <c r="A15" s="32">
        <v>6</v>
      </c>
      <c r="B15" s="245">
        <v>7.2994000000000003</v>
      </c>
      <c r="C15" s="169">
        <v>14.1884</v>
      </c>
      <c r="D15" s="48">
        <v>164000000</v>
      </c>
      <c r="E15" s="240">
        <f t="shared" si="0"/>
        <v>1.3068</v>
      </c>
      <c r="F15" s="54"/>
      <c r="G15" s="109" t="s">
        <v>305</v>
      </c>
      <c r="H15" s="229">
        <f>(1500-H14)/1000</f>
        <v>1.1450544249881685</v>
      </c>
      <c r="I15" s="5"/>
      <c r="J15" s="109" t="s">
        <v>302</v>
      </c>
      <c r="K15" s="199">
        <v>6.8</v>
      </c>
      <c r="L15" s="110"/>
      <c r="M15" s="200" t="s">
        <v>307</v>
      </c>
      <c r="N15" s="230">
        <f>B23*E23</f>
        <v>3.1411799999999983E-2</v>
      </c>
      <c r="P15" s="109" t="s">
        <v>312</v>
      </c>
      <c r="Q15" s="229">
        <f>C13*(E13)</f>
        <v>0.45873000000000003</v>
      </c>
      <c r="S15" s="196" t="s">
        <v>375</v>
      </c>
      <c r="T15" s="226">
        <f>Q18/(H13*H14)</f>
        <v>0.25138892879999986</v>
      </c>
      <c r="U15" s="5"/>
      <c r="V15" s="30">
        <f t="shared" ref="V15:V24" si="1">A13</f>
        <v>0</v>
      </c>
      <c r="W15" s="38">
        <v>1.35</v>
      </c>
      <c r="X15" s="168">
        <f t="shared" ref="X15:X24" si="2">B13*W15</f>
        <v>12.51369</v>
      </c>
      <c r="Y15" s="210">
        <f>D13*X26</f>
        <v>154500000000</v>
      </c>
      <c r="Z15" s="239">
        <f t="shared" ref="Z15:Z24" si="3">C13*W15</f>
        <v>0.45873000000000003</v>
      </c>
      <c r="AA15" s="62"/>
      <c r="AB15" s="38"/>
      <c r="AC15" s="249">
        <f>LN(Z15)</f>
        <v>-0.77929347729396725</v>
      </c>
      <c r="AD15" s="239">
        <f t="shared" ref="AD15:AD24" si="4">AVERAGE(AC15,AC45)</f>
        <v>-0.63156821486503556</v>
      </c>
      <c r="AE15" s="5"/>
      <c r="AF15" s="5"/>
      <c r="AG15" s="5"/>
      <c r="AH15" s="5"/>
      <c r="AI15" s="5"/>
      <c r="AJ15" s="5"/>
      <c r="AK15" s="5"/>
      <c r="AL15" s="40"/>
      <c r="AM15" s="5"/>
      <c r="AN15" s="216"/>
      <c r="AO15" s="212"/>
      <c r="AP15" s="5"/>
    </row>
    <row r="16" spans="1:44" ht="18" x14ac:dyDescent="0.25">
      <c r="A16" s="32">
        <v>9</v>
      </c>
      <c r="B16" s="245">
        <v>1.0601</v>
      </c>
      <c r="C16" s="169">
        <v>21.797899999999998</v>
      </c>
      <c r="D16" s="48">
        <v>235000000</v>
      </c>
      <c r="E16" s="240">
        <f t="shared" si="0"/>
        <v>1.2851999999999999</v>
      </c>
      <c r="F16" s="54"/>
      <c r="G16" s="108" t="s">
        <v>94</v>
      </c>
      <c r="H16" s="50">
        <f>H14+H15*1000</f>
        <v>1500</v>
      </c>
      <c r="J16" s="109" t="s">
        <v>301</v>
      </c>
      <c r="K16" s="229">
        <f>(1-H13)*H14/1000</f>
        <v>0.20494557501183153</v>
      </c>
      <c r="L16" s="110"/>
      <c r="M16" s="110"/>
      <c r="N16" s="199"/>
      <c r="P16" s="109" t="s">
        <v>313</v>
      </c>
      <c r="Q16" s="229">
        <f>C23*(E23)</f>
        <v>33.842075399999985</v>
      </c>
      <c r="T16" s="5"/>
      <c r="U16" s="5"/>
      <c r="V16" s="46">
        <f t="shared" si="1"/>
        <v>3</v>
      </c>
      <c r="W16" s="169">
        <v>1.3284</v>
      </c>
      <c r="X16" s="169">
        <f t="shared" si="2"/>
        <v>18.20758176</v>
      </c>
      <c r="Y16" s="54">
        <f>D14*(X26-COUNT($V$15:V15)*0.024*1000)</f>
        <v>152028000000</v>
      </c>
      <c r="Z16" s="240">
        <f t="shared" si="3"/>
        <v>7.1369618400000006</v>
      </c>
      <c r="AA16" s="243">
        <f t="shared" ref="AA16:AA23" si="5">((A14-A13)/(A15-A13)*(C15-C14)/(A15-A14))+((C14-C13)/(A14-A13)*(A15-A14)/(A15-A13))</f>
        <v>2.3080999999999996</v>
      </c>
      <c r="AB16" s="284">
        <f>(AA16*0.9/1000)/D14</f>
        <v>2.0167864077669899E-11</v>
      </c>
      <c r="AC16" s="245">
        <f t="shared" ref="AC16:AC24" si="6">LN(Z16)</f>
        <v>1.965287173190273</v>
      </c>
      <c r="AD16" s="240">
        <f t="shared" si="4"/>
        <v>1.9527251426668877</v>
      </c>
      <c r="AE16" s="5"/>
      <c r="AF16" s="5"/>
      <c r="AG16" s="5"/>
      <c r="AH16" s="5"/>
      <c r="AI16" s="5"/>
      <c r="AJ16" s="5"/>
      <c r="AK16" s="5"/>
      <c r="AL16" s="40"/>
      <c r="AM16" s="5"/>
      <c r="AN16" s="216"/>
      <c r="AO16" s="212"/>
      <c r="AP16" s="5"/>
    </row>
    <row r="17" spans="1:44" x14ac:dyDescent="0.2">
      <c r="A17" s="32">
        <v>12</v>
      </c>
      <c r="B17" s="245">
        <v>1.7500000000000002E-2</v>
      </c>
      <c r="C17" s="169">
        <v>23.799900000000001</v>
      </c>
      <c r="D17" s="48">
        <v>870000000</v>
      </c>
      <c r="E17" s="240">
        <f t="shared" si="0"/>
        <v>1.2635999999999998</v>
      </c>
      <c r="F17" s="54"/>
      <c r="J17" s="199"/>
      <c r="K17" s="199"/>
      <c r="L17" s="110"/>
      <c r="M17" s="110"/>
      <c r="N17" s="200"/>
      <c r="P17" s="110"/>
      <c r="Q17" s="110"/>
      <c r="T17" s="5"/>
      <c r="U17" s="5"/>
      <c r="V17" s="46">
        <f t="shared" si="1"/>
        <v>6</v>
      </c>
      <c r="W17" s="169">
        <v>1.3068</v>
      </c>
      <c r="X17" s="169">
        <f t="shared" si="2"/>
        <v>9.5388559199999996</v>
      </c>
      <c r="Y17" s="54">
        <f>D15*(X26-COUNT($V$15:V16)*0.024*1000)</f>
        <v>238128000000</v>
      </c>
      <c r="Z17" s="240">
        <f t="shared" si="3"/>
        <v>18.54140112</v>
      </c>
      <c r="AA17" s="243">
        <f t="shared" si="5"/>
        <v>2.7375499999999997</v>
      </c>
      <c r="AB17" s="284">
        <f t="shared" ref="AB17:AB23" si="7">(AA17*0.9/1000)/D15</f>
        <v>1.5023140243902437E-11</v>
      </c>
      <c r="AC17" s="245">
        <f t="shared" si="6"/>
        <v>2.9200061300977618</v>
      </c>
      <c r="AD17" s="240">
        <f t="shared" si="4"/>
        <v>2.928815607345264</v>
      </c>
      <c r="AE17" s="5"/>
      <c r="AF17" s="5"/>
      <c r="AG17" s="5"/>
      <c r="AH17" s="5"/>
      <c r="AI17" s="5"/>
      <c r="AJ17" s="5"/>
      <c r="AK17" s="5"/>
      <c r="AL17" s="40"/>
      <c r="AM17" s="5"/>
      <c r="AN17" s="216"/>
      <c r="AO17" s="212"/>
      <c r="AP17" s="5"/>
    </row>
    <row r="18" spans="1:44" ht="18" x14ac:dyDescent="0.25">
      <c r="A18" s="264">
        <v>15</v>
      </c>
      <c r="B18" s="252">
        <v>1.9900000000000001E-2</v>
      </c>
      <c r="C18" s="253">
        <v>24.884</v>
      </c>
      <c r="D18" s="258">
        <v>495000000</v>
      </c>
      <c r="E18" s="255">
        <f t="shared" si="0"/>
        <v>1.2419999999999998</v>
      </c>
      <c r="F18" s="54"/>
      <c r="G18" s="108" t="s">
        <v>309</v>
      </c>
      <c r="H18" s="50"/>
      <c r="J18" s="109" t="s">
        <v>303</v>
      </c>
      <c r="K18" s="229">
        <f>(10*243.364/1000+K15*K16)/(E13)</f>
        <v>2.8350147482077439</v>
      </c>
      <c r="L18" s="110"/>
      <c r="M18" s="196" t="s">
        <v>327</v>
      </c>
      <c r="N18" s="200"/>
      <c r="P18" s="196" t="s">
        <v>314</v>
      </c>
      <c r="Q18" s="233">
        <f>Q16-Q15+H22</f>
        <v>37.708339319999979</v>
      </c>
      <c r="T18" s="36"/>
      <c r="U18" s="5"/>
      <c r="V18" s="46">
        <f t="shared" si="1"/>
        <v>9</v>
      </c>
      <c r="W18" s="169">
        <v>1.2851999999999999</v>
      </c>
      <c r="X18" s="169">
        <f t="shared" si="2"/>
        <v>1.36244052</v>
      </c>
      <c r="Y18" s="54">
        <f>D16*(X26-COUNT($V$15:V17)*0.024*1000)</f>
        <v>335580000000</v>
      </c>
      <c r="Z18" s="240">
        <f t="shared" si="3"/>
        <v>28.014661079999996</v>
      </c>
      <c r="AA18" s="243">
        <f t="shared" si="5"/>
        <v>1.6019166666666669</v>
      </c>
      <c r="AB18" s="284">
        <f t="shared" si="7"/>
        <v>6.135E-12</v>
      </c>
      <c r="AC18" s="245">
        <f t="shared" si="6"/>
        <v>3.3327279831393213</v>
      </c>
      <c r="AD18" s="240">
        <f t="shared" si="4"/>
        <v>3.3549294298824286</v>
      </c>
      <c r="AE18" s="5"/>
      <c r="AF18" s="5"/>
      <c r="AG18" s="5"/>
      <c r="AH18" s="5"/>
      <c r="AI18" s="5"/>
      <c r="AJ18" s="5"/>
      <c r="AK18" s="5"/>
      <c r="AL18" s="40"/>
      <c r="AM18" s="5"/>
      <c r="AN18" s="216"/>
      <c r="AO18" s="212"/>
      <c r="AP18" s="5"/>
    </row>
    <row r="19" spans="1:44" ht="17" x14ac:dyDescent="0.25">
      <c r="A19" s="32">
        <v>21</v>
      </c>
      <c r="B19" s="245">
        <v>0</v>
      </c>
      <c r="C19" s="169">
        <v>25.684899999999999</v>
      </c>
      <c r="D19" s="48">
        <v>233000000</v>
      </c>
      <c r="E19" s="240">
        <f t="shared" si="0"/>
        <v>1.2203999999999997</v>
      </c>
      <c r="F19" s="54"/>
      <c r="G19" s="199" t="s">
        <v>95</v>
      </c>
      <c r="H19" s="199">
        <f>COUNT(A13:A22)</f>
        <v>10</v>
      </c>
      <c r="J19" s="109" t="s">
        <v>300</v>
      </c>
      <c r="K19" s="230">
        <f>10*243.364/1000+K15*K16</f>
        <v>3.8272699100804544</v>
      </c>
      <c r="L19" s="110"/>
      <c r="M19" s="110"/>
      <c r="N19" s="199"/>
      <c r="P19" s="5"/>
      <c r="Q19" s="5"/>
      <c r="T19" s="5"/>
      <c r="U19" s="5"/>
      <c r="V19" s="46">
        <f t="shared" si="1"/>
        <v>12</v>
      </c>
      <c r="W19" s="169">
        <v>1.2635999999999998</v>
      </c>
      <c r="X19" s="169">
        <f t="shared" si="2"/>
        <v>2.2113000000000001E-2</v>
      </c>
      <c r="Y19" s="54">
        <f>D17*(X26-COUNT($V$15:V18)*0.024*1000)</f>
        <v>1221480000000</v>
      </c>
      <c r="Z19" s="240">
        <f t="shared" si="3"/>
        <v>30.073553639999997</v>
      </c>
      <c r="AA19" s="243">
        <f t="shared" si="5"/>
        <v>0.51435000000000031</v>
      </c>
      <c r="AB19" s="284">
        <f t="shared" si="7"/>
        <v>5.3208620689655205E-13</v>
      </c>
      <c r="AC19" s="245">
        <f t="shared" si="6"/>
        <v>3.4036461689337227</v>
      </c>
      <c r="AD19" s="240">
        <f t="shared" si="4"/>
        <v>3.4805657216208239</v>
      </c>
      <c r="AE19" s="5"/>
      <c r="AF19" s="5"/>
      <c r="AG19" s="5"/>
      <c r="AH19" s="5"/>
      <c r="AI19" s="5"/>
      <c r="AJ19" s="5"/>
      <c r="AK19" s="5"/>
      <c r="AL19" s="40"/>
      <c r="AM19" s="5"/>
      <c r="AN19" s="216"/>
      <c r="AO19" s="212"/>
      <c r="AP19" s="5"/>
    </row>
    <row r="20" spans="1:44" x14ac:dyDescent="0.2">
      <c r="A20" s="32">
        <v>24</v>
      </c>
      <c r="B20" s="245">
        <v>0</v>
      </c>
      <c r="C20" s="169">
        <v>27.503599999999999</v>
      </c>
      <c r="D20" s="48">
        <v>1200000000</v>
      </c>
      <c r="E20" s="240">
        <f t="shared" si="0"/>
        <v>1.1987999999999996</v>
      </c>
      <c r="F20" s="54"/>
      <c r="G20" s="199" t="s">
        <v>96</v>
      </c>
      <c r="H20" s="199">
        <f>0.9*0.024</f>
        <v>2.1600000000000001E-2</v>
      </c>
      <c r="J20" s="110"/>
      <c r="K20" s="110"/>
      <c r="L20" s="110"/>
      <c r="M20" s="200" t="s">
        <v>328</v>
      </c>
      <c r="N20" s="229">
        <f>AVERAGE('4 Amount of released glucose'!D10:D18)*'8 30% adapt. X=10'!H13*'8 30% adapt. X=10'!H14</f>
        <v>87.296317767830757</v>
      </c>
      <c r="P20" s="5"/>
      <c r="Q20" s="5"/>
      <c r="T20" s="5"/>
      <c r="U20" s="5"/>
      <c r="V20" s="251">
        <f t="shared" si="1"/>
        <v>15</v>
      </c>
      <c r="W20" s="253">
        <v>1.2419999999999998</v>
      </c>
      <c r="X20" s="253">
        <f t="shared" si="2"/>
        <v>2.4715799999999996E-2</v>
      </c>
      <c r="Y20" s="254">
        <f>D18*(X26-COUNT($V$15:V19)*0.024*1000)</f>
        <v>683100000000</v>
      </c>
      <c r="Z20" s="255">
        <f t="shared" si="3"/>
        <v>30.905927999999996</v>
      </c>
      <c r="AA20" s="256">
        <f t="shared" si="5"/>
        <v>0.28540555555555536</v>
      </c>
      <c r="AB20" s="254">
        <f t="shared" si="7"/>
        <v>5.1891919191919163E-13</v>
      </c>
      <c r="AC20" s="252">
        <f t="shared" si="6"/>
        <v>3.4309480101640601</v>
      </c>
      <c r="AD20" s="255">
        <f t="shared" si="4"/>
        <v>3.4936684420529707</v>
      </c>
      <c r="AE20" s="5"/>
      <c r="AF20" s="5"/>
      <c r="AG20" s="5"/>
      <c r="AH20" s="5"/>
      <c r="AI20" s="5"/>
      <c r="AJ20" s="5"/>
      <c r="AK20" s="5"/>
      <c r="AL20" s="40"/>
      <c r="AM20" s="5"/>
      <c r="AN20" s="216"/>
      <c r="AO20" s="212"/>
      <c r="AP20" s="5"/>
    </row>
    <row r="21" spans="1:44" ht="18" x14ac:dyDescent="0.25">
      <c r="A21" s="32">
        <v>27</v>
      </c>
      <c r="B21" s="245">
        <v>0</v>
      </c>
      <c r="C21" s="169">
        <v>28.2424</v>
      </c>
      <c r="D21" s="48">
        <v>34000000</v>
      </c>
      <c r="E21" s="240">
        <f t="shared" si="0"/>
        <v>1.1771999999999996</v>
      </c>
      <c r="F21" s="54"/>
      <c r="G21" s="200" t="s">
        <v>97</v>
      </c>
      <c r="H21" s="230">
        <f>H20*(SUM(B13:B22))</f>
        <v>0.67817519999999998</v>
      </c>
      <c r="J21" s="110"/>
      <c r="K21" s="110"/>
      <c r="L21" s="110"/>
      <c r="M21" s="200" t="s">
        <v>329</v>
      </c>
      <c r="N21" s="229">
        <f>AVERAGE('4 Amount of released glucose'!D46:D48,'4 Amount of released glucose'!D50:D54)*'8 30% adapt. X=10'!H13*'8 30% adapt. X=10'!H14</f>
        <v>48.808652847101683</v>
      </c>
      <c r="P21" s="36"/>
      <c r="Q21" s="197"/>
      <c r="T21" s="36"/>
      <c r="U21" s="36"/>
      <c r="V21" s="46">
        <f t="shared" si="1"/>
        <v>21</v>
      </c>
      <c r="W21" s="169">
        <v>1.2203999999999997</v>
      </c>
      <c r="X21" s="169">
        <f t="shared" si="2"/>
        <v>0</v>
      </c>
      <c r="Y21" s="54">
        <f>D19*(X26-COUNT($V$15:V20)*0.024*1000)</f>
        <v>315948000000</v>
      </c>
      <c r="Z21" s="240">
        <f t="shared" si="3"/>
        <v>31.34585195999999</v>
      </c>
      <c r="AA21" s="243">
        <f t="shared" si="5"/>
        <v>0.44864999999999977</v>
      </c>
      <c r="AB21" s="284">
        <f t="shared" si="7"/>
        <v>1.7329828326180248E-12</v>
      </c>
      <c r="AC21" s="245">
        <f t="shared" si="6"/>
        <v>3.4450819444490781</v>
      </c>
      <c r="AD21" s="240">
        <f t="shared" si="4"/>
        <v>3.5124048075616603</v>
      </c>
      <c r="AE21" s="5"/>
      <c r="AF21" s="5"/>
      <c r="AG21" s="5"/>
      <c r="AH21" s="5"/>
      <c r="AI21" s="5"/>
      <c r="AJ21" s="5"/>
      <c r="AK21" s="5"/>
      <c r="AL21" s="40"/>
      <c r="AM21" s="5"/>
      <c r="AN21" s="5"/>
      <c r="AO21" s="212"/>
      <c r="AP21" s="5"/>
    </row>
    <row r="22" spans="1:44" x14ac:dyDescent="0.2">
      <c r="A22" s="32">
        <v>30</v>
      </c>
      <c r="B22" s="245">
        <v>2.4299999999999999E-2</v>
      </c>
      <c r="C22" s="169">
        <v>28.4177</v>
      </c>
      <c r="D22" s="48">
        <v>8300000</v>
      </c>
      <c r="E22" s="240">
        <f t="shared" si="0"/>
        <v>1.1555999999999995</v>
      </c>
      <c r="F22" s="54"/>
      <c r="G22" s="200" t="s">
        <v>98</v>
      </c>
      <c r="H22" s="230">
        <f>H20*(SUM(C13:C22))</f>
        <v>4.3249939199999998</v>
      </c>
      <c r="I22" s="5"/>
      <c r="J22" s="110"/>
      <c r="K22" s="110"/>
      <c r="L22" s="110"/>
      <c r="M22" s="200" t="s">
        <v>330</v>
      </c>
      <c r="N22" s="230">
        <f>N20-N21</f>
        <v>38.487664920729074</v>
      </c>
      <c r="P22" s="36"/>
      <c r="Q22" s="36"/>
      <c r="T22" s="36"/>
      <c r="U22" s="36"/>
      <c r="V22" s="46">
        <f t="shared" si="1"/>
        <v>24</v>
      </c>
      <c r="W22" s="169">
        <v>1.1987999999999996</v>
      </c>
      <c r="X22" s="169">
        <f t="shared" si="2"/>
        <v>0</v>
      </c>
      <c r="Y22" s="54">
        <f>D20*(X26-COUNT($V$15:V21)*0.024*1000)</f>
        <v>1598400000000</v>
      </c>
      <c r="Z22" s="240">
        <f t="shared" si="3"/>
        <v>32.971315679999989</v>
      </c>
      <c r="AA22" s="243">
        <f t="shared" si="5"/>
        <v>0.42625000000000018</v>
      </c>
      <c r="AB22" s="284">
        <f t="shared" si="7"/>
        <v>3.1968750000000015E-13</v>
      </c>
      <c r="AC22" s="245">
        <f t="shared" si="6"/>
        <v>3.4956379616559583</v>
      </c>
      <c r="AD22" s="240">
        <f t="shared" si="4"/>
        <v>3.5438288924930736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212"/>
      <c r="AP22" s="5"/>
    </row>
    <row r="23" spans="1:44" ht="16" thickBot="1" x14ac:dyDescent="0.25">
      <c r="A23" s="42">
        <v>33</v>
      </c>
      <c r="B23" s="246">
        <v>2.7699999999999999E-2</v>
      </c>
      <c r="C23" s="238">
        <v>29.8431</v>
      </c>
      <c r="D23" s="9"/>
      <c r="E23" s="242">
        <f t="shared" si="0"/>
        <v>1.1339999999999995</v>
      </c>
      <c r="F23" s="5"/>
      <c r="H23" s="36"/>
      <c r="I23" s="5"/>
      <c r="J23" s="110"/>
      <c r="K23" s="110"/>
      <c r="L23" s="110"/>
      <c r="M23" s="110"/>
      <c r="N23" s="199"/>
      <c r="P23" s="5"/>
      <c r="Q23" s="5"/>
      <c r="T23" s="5"/>
      <c r="U23" s="5"/>
      <c r="V23" s="46">
        <f t="shared" si="1"/>
        <v>27</v>
      </c>
      <c r="W23" s="169">
        <v>1.1771999999999996</v>
      </c>
      <c r="X23" s="169">
        <f t="shared" si="2"/>
        <v>0</v>
      </c>
      <c r="Y23" s="54">
        <f>D21*(X26-COUNT($V$15:V22)*0.024*1000)</f>
        <v>44472000000</v>
      </c>
      <c r="Z23" s="240">
        <f t="shared" si="3"/>
        <v>33.246953279999985</v>
      </c>
      <c r="AA23" s="243">
        <f t="shared" si="5"/>
        <v>0.15235000000000021</v>
      </c>
      <c r="AB23" s="284">
        <f t="shared" si="7"/>
        <v>4.0327941176470641E-12</v>
      </c>
      <c r="AC23" s="245">
        <f t="shared" si="6"/>
        <v>3.5039631322268239</v>
      </c>
      <c r="AD23" s="240">
        <f t="shared" si="4"/>
        <v>3.5395899211811859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212"/>
      <c r="AP23" s="5"/>
    </row>
    <row r="24" spans="1:44" ht="16" thickBot="1" x14ac:dyDescent="0.25">
      <c r="H24" s="36"/>
      <c r="I24" s="5"/>
      <c r="J24" s="110"/>
      <c r="K24" s="110"/>
      <c r="L24" s="110"/>
      <c r="M24" s="196" t="s">
        <v>347</v>
      </c>
      <c r="N24" s="233">
        <f>N22+K19-N15-H21</f>
        <v>41.605347830809528</v>
      </c>
      <c r="P24" s="5"/>
      <c r="Q24" s="5"/>
      <c r="V24" s="31">
        <f t="shared" si="1"/>
        <v>30</v>
      </c>
      <c r="W24" s="238">
        <v>1.1555999999999995</v>
      </c>
      <c r="X24" s="238">
        <f t="shared" si="2"/>
        <v>2.8081079999999987E-2</v>
      </c>
      <c r="Y24" s="65">
        <f>D22*(X26-COUNT($V$15:V23)*0.024*1000)</f>
        <v>10657200000</v>
      </c>
      <c r="Z24" s="242">
        <f t="shared" si="3"/>
        <v>32.839494119999983</v>
      </c>
      <c r="AA24" s="209"/>
      <c r="AB24" s="277"/>
      <c r="AC24" s="246">
        <f t="shared" si="6"/>
        <v>3.4916318800806816</v>
      </c>
      <c r="AD24" s="242">
        <f t="shared" si="4"/>
        <v>3.5511749534015502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4" ht="18" thickBot="1" x14ac:dyDescent="0.25">
      <c r="A25" s="11" t="s">
        <v>296</v>
      </c>
      <c r="H25" s="5"/>
      <c r="I25" s="5"/>
      <c r="J25" s="5"/>
      <c r="K25" s="5"/>
      <c r="L25" s="197"/>
      <c r="M25" s="5"/>
      <c r="N25" s="5"/>
      <c r="P25" s="5"/>
      <c r="Q25" s="5"/>
      <c r="AA25" s="205"/>
      <c r="AB25" s="206"/>
      <c r="AD25" s="5"/>
      <c r="AG25" s="5"/>
      <c r="AH25" s="5"/>
      <c r="AI25" s="5"/>
      <c r="AJ25" s="36"/>
      <c r="AK25" s="5"/>
      <c r="AL25" s="5"/>
      <c r="AM25" s="5"/>
      <c r="AN25" s="5"/>
      <c r="AO25" s="195"/>
      <c r="AP25" s="213"/>
      <c r="AQ25" s="214"/>
      <c r="AR25" s="5"/>
    </row>
    <row r="26" spans="1:44" ht="18" thickBot="1" x14ac:dyDescent="0.25">
      <c r="A26" s="49" t="s">
        <v>297</v>
      </c>
      <c r="H26" s="5"/>
      <c r="I26" s="5"/>
      <c r="J26" s="5"/>
      <c r="K26" s="5"/>
      <c r="L26" s="36"/>
      <c r="M26" s="36"/>
      <c r="N26" s="36"/>
      <c r="O26" s="5"/>
      <c r="V26" s="44" t="s">
        <v>94</v>
      </c>
      <c r="W26" s="59"/>
      <c r="X26" s="60">
        <f>H15*1000+H14</f>
        <v>1500</v>
      </c>
      <c r="Z26" s="10" t="s">
        <v>93</v>
      </c>
      <c r="AA26" s="301">
        <f>MAX(AA16:AA19)</f>
        <v>2.7375499999999997</v>
      </c>
      <c r="AB26" s="302">
        <f>MAX(AB16:AB19)</f>
        <v>2.0167864077669899E-11</v>
      </c>
      <c r="AD26" s="5"/>
      <c r="AG26" s="5"/>
      <c r="AH26" s="5"/>
      <c r="AI26" s="5"/>
      <c r="AJ26" s="5"/>
      <c r="AK26" s="5"/>
      <c r="AL26" s="5"/>
      <c r="AM26" s="5"/>
      <c r="AN26" s="5"/>
      <c r="AO26" s="195"/>
      <c r="AP26" s="213"/>
      <c r="AQ26" s="214"/>
      <c r="AR26" s="5"/>
    </row>
    <row r="27" spans="1:44" ht="18" thickBot="1" x14ac:dyDescent="0.25">
      <c r="A27" s="49" t="s">
        <v>299</v>
      </c>
      <c r="D27" s="222"/>
      <c r="H27" s="36"/>
      <c r="I27" s="36"/>
      <c r="J27" s="5"/>
      <c r="K27" s="5"/>
      <c r="L27" s="5"/>
      <c r="M27" s="5"/>
      <c r="N27" s="5"/>
      <c r="O27" s="5"/>
      <c r="Z27" s="10" t="s">
        <v>99</v>
      </c>
      <c r="AA27" s="303">
        <f>(C18-C13)/A18</f>
        <v>1.63628</v>
      </c>
      <c r="AB27" s="304">
        <f>AVERAGE(AB16:AB19)</f>
        <v>1.0464522632117223E-11</v>
      </c>
      <c r="AD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7" x14ac:dyDescent="0.2">
      <c r="A28" s="49" t="s">
        <v>385</v>
      </c>
      <c r="H28" s="36"/>
      <c r="I28" s="36"/>
      <c r="J28" s="5"/>
      <c r="K28" s="5"/>
      <c r="L28" s="36"/>
      <c r="M28" s="5"/>
      <c r="N28" s="5"/>
      <c r="O28" s="5"/>
      <c r="AD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7" x14ac:dyDescent="0.2">
      <c r="A29" s="49" t="s">
        <v>308</v>
      </c>
      <c r="H29" s="5"/>
      <c r="I29" s="5"/>
      <c r="J29" s="5"/>
      <c r="K29" s="5"/>
      <c r="L29" s="36"/>
      <c r="M29" s="5"/>
      <c r="N29" s="5"/>
      <c r="O29" s="5"/>
      <c r="AD29" s="5"/>
      <c r="AG29" s="5"/>
      <c r="AH29" s="5"/>
      <c r="AI29" s="5"/>
      <c r="AJ29" s="36"/>
      <c r="AK29" s="5"/>
      <c r="AL29" s="5"/>
      <c r="AM29" s="5"/>
      <c r="AN29" s="5"/>
      <c r="AO29" s="5"/>
      <c r="AP29" s="5"/>
      <c r="AQ29" s="5"/>
      <c r="AR29" s="5"/>
    </row>
    <row r="30" spans="1:44" ht="17" x14ac:dyDescent="0.2">
      <c r="A30" s="49" t="s">
        <v>320</v>
      </c>
      <c r="K30" s="5"/>
      <c r="L30" s="5"/>
      <c r="M30" s="5"/>
      <c r="N30" s="5"/>
      <c r="O30" s="5"/>
      <c r="AD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x14ac:dyDescent="0.2">
      <c r="K31" s="5"/>
      <c r="L31" s="36"/>
      <c r="M31" s="5"/>
      <c r="N31" s="5"/>
      <c r="O31" s="5"/>
      <c r="AD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x14ac:dyDescent="0.2">
      <c r="K32" s="5"/>
      <c r="L32" s="5"/>
      <c r="M32" s="36"/>
      <c r="N32" s="36"/>
      <c r="O32" s="5"/>
    </row>
    <row r="33" spans="1:43" x14ac:dyDescent="0.2">
      <c r="K33" s="5"/>
      <c r="L33" s="5"/>
      <c r="M33" s="5"/>
      <c r="N33" s="5"/>
      <c r="O33" s="5"/>
      <c r="T33" s="225"/>
      <c r="U33" s="225"/>
      <c r="AA33" s="313"/>
      <c r="AB33" s="313"/>
      <c r="AC33" s="283"/>
    </row>
    <row r="34" spans="1:43" x14ac:dyDescent="0.2">
      <c r="T34" s="221"/>
      <c r="U34" s="221"/>
      <c r="AA34" s="221"/>
      <c r="AB34" s="223"/>
      <c r="AC34" s="223"/>
    </row>
    <row r="35" spans="1:43" x14ac:dyDescent="0.2">
      <c r="AA35" s="221"/>
      <c r="AB35" s="222"/>
      <c r="AC35" s="224"/>
    </row>
    <row r="37" spans="1:43" x14ac:dyDescent="0.2">
      <c r="A37" s="51" t="s">
        <v>339</v>
      </c>
    </row>
    <row r="40" spans="1:43" ht="18" customHeight="1" thickBot="1" x14ac:dyDescent="0.3">
      <c r="A40" s="10" t="s">
        <v>84</v>
      </c>
      <c r="J40" s="10" t="s">
        <v>88</v>
      </c>
      <c r="AD40" s="57"/>
      <c r="AE40" s="57"/>
      <c r="AG40" s="57"/>
    </row>
    <row r="41" spans="1:43" ht="21" x14ac:dyDescent="0.25">
      <c r="A41" s="43" t="s">
        <v>293</v>
      </c>
      <c r="B41" s="43" t="s">
        <v>80</v>
      </c>
      <c r="C41" s="33" t="s">
        <v>81</v>
      </c>
      <c r="D41" s="34" t="s">
        <v>295</v>
      </c>
      <c r="E41" s="192" t="s">
        <v>381</v>
      </c>
      <c r="P41" s="198" t="s">
        <v>311</v>
      </c>
      <c r="S41" s="198" t="s">
        <v>82</v>
      </c>
      <c r="V41" s="198" t="s">
        <v>90</v>
      </c>
      <c r="W41" s="5"/>
      <c r="X41" s="5"/>
      <c r="Y41" s="5"/>
      <c r="Z41" s="5"/>
      <c r="AA41" s="5"/>
      <c r="AB41" s="5"/>
      <c r="AD41" s="57"/>
      <c r="AE41" s="57"/>
      <c r="AG41" s="57"/>
    </row>
    <row r="42" spans="1:43" ht="16" thickBot="1" x14ac:dyDescent="0.25">
      <c r="A42" s="61" t="s">
        <v>79</v>
      </c>
      <c r="B42" s="61" t="s">
        <v>76</v>
      </c>
      <c r="C42" s="53" t="s">
        <v>76</v>
      </c>
      <c r="D42" s="55" t="s">
        <v>294</v>
      </c>
      <c r="E42" s="203" t="s">
        <v>382</v>
      </c>
      <c r="G42" s="108" t="s">
        <v>87</v>
      </c>
      <c r="H42" s="50"/>
      <c r="J42" s="198" t="s">
        <v>310</v>
      </c>
      <c r="V42" s="36"/>
      <c r="W42" s="5"/>
      <c r="X42" s="36"/>
      <c r="Y42" s="36"/>
      <c r="Z42" s="5"/>
      <c r="AA42" s="36"/>
      <c r="AB42" s="36"/>
    </row>
    <row r="43" spans="1:43" ht="18" x14ac:dyDescent="0.25">
      <c r="A43" s="62">
        <v>0</v>
      </c>
      <c r="B43" s="249">
        <v>12.4594</v>
      </c>
      <c r="C43" s="168">
        <v>0.45660000000000001</v>
      </c>
      <c r="D43" s="56">
        <f>AVERAGE(250,233)/10^(-5)/0.1</f>
        <v>241499999.99999994</v>
      </c>
      <c r="E43" s="239">
        <f>H45+K46</f>
        <v>1.35</v>
      </c>
      <c r="G43" s="200" t="s">
        <v>86</v>
      </c>
      <c r="H43" s="229">
        <v>0.42259999999999998</v>
      </c>
      <c r="J43" s="196" t="s">
        <v>298</v>
      </c>
      <c r="K43" s="110"/>
      <c r="L43" s="110"/>
      <c r="M43" s="196" t="s">
        <v>306</v>
      </c>
      <c r="N43" s="110"/>
      <c r="P43" s="196" t="s">
        <v>89</v>
      </c>
      <c r="Q43" s="202"/>
      <c r="S43" s="196" t="s">
        <v>348</v>
      </c>
      <c r="T43" s="226">
        <f>Q48/N54</f>
        <v>1.1398068299504382</v>
      </c>
      <c r="V43" s="192" t="s">
        <v>315</v>
      </c>
      <c r="W43" s="33" t="s">
        <v>321</v>
      </c>
      <c r="X43" s="33" t="s">
        <v>80</v>
      </c>
      <c r="Y43" s="33" t="s">
        <v>317</v>
      </c>
      <c r="Z43" s="34" t="s">
        <v>81</v>
      </c>
      <c r="AA43" s="205" t="s">
        <v>217</v>
      </c>
      <c r="AB43" s="206" t="s">
        <v>83</v>
      </c>
      <c r="AC43" s="34" t="s">
        <v>392</v>
      </c>
    </row>
    <row r="44" spans="1:43" ht="18" thickBot="1" x14ac:dyDescent="0.3">
      <c r="A44" s="32">
        <v>3</v>
      </c>
      <c r="B44" s="245">
        <v>16.105799999999999</v>
      </c>
      <c r="C44" s="169">
        <v>5.2393000000000001</v>
      </c>
      <c r="D44" s="48">
        <f>AVERAGE(55,62)/10^(-5)/0.1</f>
        <v>58499999.999999985</v>
      </c>
      <c r="E44" s="240">
        <f t="shared" ref="E44:E55" si="8">E43-$H$50</f>
        <v>1.3284</v>
      </c>
      <c r="F44" s="5"/>
      <c r="G44" s="200" t="s">
        <v>304</v>
      </c>
      <c r="H44" s="229">
        <v>354.94557501183152</v>
      </c>
      <c r="J44" s="199"/>
      <c r="K44" s="199"/>
      <c r="L44" s="110"/>
      <c r="M44" s="199"/>
      <c r="N44" s="110"/>
      <c r="P44" s="110"/>
      <c r="Q44" s="110"/>
      <c r="S44" s="196" t="s">
        <v>374</v>
      </c>
      <c r="T44" s="226">
        <f>Q48/N52</f>
        <v>1.2297299998308342</v>
      </c>
      <c r="V44" s="203" t="s">
        <v>79</v>
      </c>
      <c r="W44" s="53" t="s">
        <v>316</v>
      </c>
      <c r="X44" s="53" t="s">
        <v>78</v>
      </c>
      <c r="Y44" s="53" t="s">
        <v>318</v>
      </c>
      <c r="Z44" s="55" t="s">
        <v>319</v>
      </c>
      <c r="AA44" s="207" t="s">
        <v>323</v>
      </c>
      <c r="AB44" s="208" t="s">
        <v>322</v>
      </c>
      <c r="AC44" s="55"/>
    </row>
    <row r="45" spans="1:43" ht="18" x14ac:dyDescent="0.25">
      <c r="A45" s="32">
        <v>6</v>
      </c>
      <c r="B45" s="245">
        <v>10.7956</v>
      </c>
      <c r="C45" s="169">
        <v>14.4406</v>
      </c>
      <c r="D45" s="48">
        <f>AVERAGE(40,35)/10^(-6)/0.1</f>
        <v>375000000</v>
      </c>
      <c r="E45" s="240">
        <f t="shared" si="8"/>
        <v>1.3068</v>
      </c>
      <c r="F45" s="5"/>
      <c r="G45" s="109" t="s">
        <v>305</v>
      </c>
      <c r="H45" s="229">
        <f>(1500-H44)/1000</f>
        <v>1.1450544249881685</v>
      </c>
      <c r="J45" s="109" t="s">
        <v>302</v>
      </c>
      <c r="K45" s="199">
        <v>6.8</v>
      </c>
      <c r="L45" s="110"/>
      <c r="M45" s="200" t="s">
        <v>307</v>
      </c>
      <c r="N45" s="230">
        <f>E55*(B55)</f>
        <v>0.1271872799999999</v>
      </c>
      <c r="P45" s="109" t="s">
        <v>312</v>
      </c>
      <c r="Q45" s="229">
        <f>C43*(E43)</f>
        <v>0.61641000000000001</v>
      </c>
      <c r="S45" s="196" t="s">
        <v>375</v>
      </c>
      <c r="T45" s="226">
        <f>Q48/(H43*H44)</f>
        <v>0.28475480879999981</v>
      </c>
      <c r="V45" s="30">
        <f t="shared" ref="V45:V54" si="9">A43</f>
        <v>0</v>
      </c>
      <c r="W45" s="62">
        <v>1.35</v>
      </c>
      <c r="X45" s="168">
        <f t="shared" ref="X45:X54" si="10">B43*W45</f>
        <v>16.82019</v>
      </c>
      <c r="Y45" s="210">
        <f>D43*X56</f>
        <v>362249999999.99994</v>
      </c>
      <c r="Z45" s="239">
        <f t="shared" ref="Z45:Z54" si="11">C43*W45</f>
        <v>0.61641000000000001</v>
      </c>
      <c r="AA45" s="62"/>
      <c r="AB45" s="38"/>
      <c r="AC45" s="234">
        <f t="shared" ref="AC45:AC54" si="12">LN(Z45)</f>
        <v>-0.48384295243610381</v>
      </c>
    </row>
    <row r="46" spans="1:43" ht="18" x14ac:dyDescent="0.25">
      <c r="A46" s="32">
        <v>9</v>
      </c>
      <c r="B46" s="245">
        <v>4.63</v>
      </c>
      <c r="C46" s="169">
        <v>22.787600000000001</v>
      </c>
      <c r="D46" s="48">
        <f>AVERAGE(89,61)/10^(-6)/0.1</f>
        <v>750000000</v>
      </c>
      <c r="E46" s="240">
        <f t="shared" si="8"/>
        <v>1.2851999999999999</v>
      </c>
      <c r="F46" s="5"/>
      <c r="G46" s="108" t="s">
        <v>94</v>
      </c>
      <c r="H46" s="50">
        <f>H44+H45*1000</f>
        <v>1500</v>
      </c>
      <c r="J46" s="109" t="s">
        <v>301</v>
      </c>
      <c r="K46" s="229">
        <f>(1-H43)*H44/1000</f>
        <v>0.20494557501183153</v>
      </c>
      <c r="L46" s="110"/>
      <c r="M46" s="110"/>
      <c r="N46" s="200"/>
      <c r="P46" s="109" t="s">
        <v>313</v>
      </c>
      <c r="Q46" s="229">
        <f>C55*(E55)</f>
        <v>37.132904519999975</v>
      </c>
      <c r="R46" s="5"/>
      <c r="T46" s="36"/>
      <c r="U46" s="5"/>
      <c r="V46" s="46">
        <f t="shared" si="9"/>
        <v>3</v>
      </c>
      <c r="W46" s="245">
        <v>1.3284</v>
      </c>
      <c r="X46" s="169">
        <f t="shared" si="10"/>
        <v>21.394944719999998</v>
      </c>
      <c r="Y46" s="54">
        <f>D44*(X56-COUNT($V$45:V45)*0.024*1000)</f>
        <v>86345999999.999985</v>
      </c>
      <c r="Z46" s="240">
        <f t="shared" si="11"/>
        <v>6.9598861200000002</v>
      </c>
      <c r="AA46" s="243">
        <f>((A44-A43)/(A45-A43)*(C45-C44)/(A45-A44))+((C44-C43)/(A44-A43)*(A45-A44)/(A45-A43))</f>
        <v>2.3306666666666667</v>
      </c>
      <c r="AB46" s="284">
        <f>(AA46*0.9/1000)/D44</f>
        <v>3.5856410256410262E-11</v>
      </c>
      <c r="AC46" s="235">
        <f t="shared" si="12"/>
        <v>1.9401631121435026</v>
      </c>
      <c r="AK46" s="10"/>
      <c r="AL46" s="10"/>
      <c r="AP46" s="10"/>
      <c r="AQ46" s="37"/>
    </row>
    <row r="47" spans="1:43" x14ac:dyDescent="0.2">
      <c r="A47" s="32">
        <v>12</v>
      </c>
      <c r="B47" s="245">
        <v>0.25530000000000003</v>
      </c>
      <c r="C47" s="169">
        <v>27.757899999999999</v>
      </c>
      <c r="D47" s="48">
        <f>AVERAGE(49,56)/10^(-6)/0.1</f>
        <v>525000000</v>
      </c>
      <c r="E47" s="240">
        <f t="shared" si="8"/>
        <v>1.2635999999999998</v>
      </c>
      <c r="F47" s="36"/>
      <c r="I47" s="5"/>
      <c r="J47" s="199"/>
      <c r="K47" s="199"/>
      <c r="L47" s="110"/>
      <c r="M47" s="110"/>
      <c r="N47" s="200"/>
      <c r="P47" s="110"/>
      <c r="Q47" s="110"/>
      <c r="R47" s="5"/>
      <c r="T47" s="36"/>
      <c r="U47" s="5"/>
      <c r="V47" s="46">
        <f t="shared" si="9"/>
        <v>6</v>
      </c>
      <c r="W47" s="245">
        <v>1.3068</v>
      </c>
      <c r="X47" s="169">
        <f t="shared" si="10"/>
        <v>14.107690079999999</v>
      </c>
      <c r="Y47" s="54">
        <f>D45*(X56-COUNT($V$45:V46)*0.024*1000)</f>
        <v>544500000000</v>
      </c>
      <c r="Z47" s="240">
        <f t="shared" si="11"/>
        <v>18.870976079999998</v>
      </c>
      <c r="AA47" s="243">
        <f t="shared" ref="AA47:AA52" si="13">((A45-A44)/(A46-A44)*(C46-C45)/(A46-A45))+((C45-C44)/(A45-A44)*(A46-A45)/(A46-A44))</f>
        <v>2.9247166666666669</v>
      </c>
      <c r="AB47" s="284">
        <f t="shared" ref="AB47:AB53" si="14">(AA47*0.9/1000)/D45</f>
        <v>7.0193200000000004E-12</v>
      </c>
      <c r="AC47" s="235">
        <f t="shared" si="12"/>
        <v>2.9376250845927663</v>
      </c>
      <c r="AD47" s="5"/>
      <c r="AG47" s="5"/>
      <c r="AH47" s="5"/>
      <c r="AI47" s="5"/>
      <c r="AJ47" s="5"/>
      <c r="AK47" s="5"/>
      <c r="AL47" s="36"/>
      <c r="AM47" s="5"/>
      <c r="AN47" s="5"/>
      <c r="AO47" s="5"/>
      <c r="AP47" s="36"/>
      <c r="AQ47" s="37"/>
    </row>
    <row r="48" spans="1:43" ht="18" x14ac:dyDescent="0.25">
      <c r="A48" s="264">
        <v>15</v>
      </c>
      <c r="B48" s="252">
        <v>0</v>
      </c>
      <c r="C48" s="253">
        <v>28.209700000000002</v>
      </c>
      <c r="D48" s="258">
        <f>AVERAGE(49,47)/10^(-6)/0.1</f>
        <v>480000000</v>
      </c>
      <c r="E48" s="255">
        <f t="shared" si="8"/>
        <v>1.2419999999999998</v>
      </c>
      <c r="F48" s="36"/>
      <c r="G48" s="108" t="s">
        <v>309</v>
      </c>
      <c r="H48" s="50"/>
      <c r="I48" s="5"/>
      <c r="J48" s="109" t="s">
        <v>303</v>
      </c>
      <c r="K48" s="229">
        <f>(10*243.364/1000+K45*K46)/(E43)</f>
        <v>2.8350147482077439</v>
      </c>
      <c r="L48" s="110"/>
      <c r="M48" s="196" t="s">
        <v>327</v>
      </c>
      <c r="N48" s="199"/>
      <c r="P48" s="196" t="s">
        <v>314</v>
      </c>
      <c r="Q48" s="233">
        <f>Q46-Q45+H52</f>
        <v>42.713221319999974</v>
      </c>
      <c r="R48" s="5"/>
      <c r="T48" s="5"/>
      <c r="U48" s="5"/>
      <c r="V48" s="46">
        <f t="shared" si="9"/>
        <v>9</v>
      </c>
      <c r="W48" s="245">
        <v>1.2851999999999999</v>
      </c>
      <c r="X48" s="169">
        <f t="shared" si="10"/>
        <v>5.9504759999999992</v>
      </c>
      <c r="Y48" s="54">
        <f>D46*(X56-COUNT($V$45:V47)*0.024*1000)</f>
        <v>1071000000000</v>
      </c>
      <c r="Z48" s="240">
        <f t="shared" si="11"/>
        <v>29.286623519999999</v>
      </c>
      <c r="AA48" s="243">
        <f t="shared" si="13"/>
        <v>2.2195499999999999</v>
      </c>
      <c r="AB48" s="284">
        <f t="shared" si="14"/>
        <v>2.66346E-12</v>
      </c>
      <c r="AC48" s="235">
        <f t="shared" si="12"/>
        <v>3.3771308766255363</v>
      </c>
      <c r="AD48" s="5"/>
      <c r="AG48" s="5"/>
      <c r="AH48" s="5"/>
      <c r="AI48" s="5"/>
      <c r="AJ48" s="5"/>
      <c r="AK48" s="36"/>
      <c r="AL48" s="36"/>
      <c r="AM48" s="36"/>
      <c r="AN48" s="36"/>
      <c r="AO48" s="36"/>
      <c r="AP48" s="5"/>
      <c r="AQ48" s="5"/>
    </row>
    <row r="49" spans="1:43" ht="18" x14ac:dyDescent="0.25">
      <c r="A49" s="32">
        <v>21</v>
      </c>
      <c r="B49" s="245">
        <v>2.1600000000000001E-2</v>
      </c>
      <c r="C49" s="169">
        <v>29.386900000000001</v>
      </c>
      <c r="D49" s="48">
        <f>AVERAGE(21,22)/10^(-5)/0.1</f>
        <v>21500000</v>
      </c>
      <c r="E49" s="240">
        <f t="shared" si="8"/>
        <v>1.2203999999999997</v>
      </c>
      <c r="F49" s="36"/>
      <c r="G49" s="199" t="s">
        <v>95</v>
      </c>
      <c r="H49" s="199">
        <f>COUNT(B43:B52)</f>
        <v>10</v>
      </c>
      <c r="I49" s="36"/>
      <c r="J49" s="109" t="s">
        <v>300</v>
      </c>
      <c r="K49" s="230">
        <f>10*243.364/1000+K45*K46</f>
        <v>3.8272699100804544</v>
      </c>
      <c r="L49" s="110"/>
      <c r="M49" s="110"/>
      <c r="N49" s="199"/>
      <c r="P49" s="5"/>
      <c r="Q49" s="197"/>
      <c r="R49" s="5"/>
      <c r="T49" s="36"/>
      <c r="U49" s="197"/>
      <c r="V49" s="46">
        <f t="shared" si="9"/>
        <v>12</v>
      </c>
      <c r="W49" s="245">
        <v>1.2635999999999998</v>
      </c>
      <c r="X49" s="169">
        <f t="shared" si="10"/>
        <v>0.32259707999999998</v>
      </c>
      <c r="Y49" s="54">
        <f>D47*(X56-COUNT($V$45:V48)*0.024*1000)</f>
        <v>737100000000</v>
      </c>
      <c r="Z49" s="240">
        <f t="shared" si="11"/>
        <v>35.074882439999996</v>
      </c>
      <c r="AA49" s="243">
        <f t="shared" si="13"/>
        <v>0.90368333333333339</v>
      </c>
      <c r="AB49" s="284">
        <f t="shared" si="14"/>
        <v>1.5491714285714288E-12</v>
      </c>
      <c r="AC49" s="235">
        <f t="shared" si="12"/>
        <v>3.5574852743079255</v>
      </c>
      <c r="AD49" s="5"/>
      <c r="AG49" s="5"/>
      <c r="AH49" s="5"/>
      <c r="AI49" s="5"/>
      <c r="AJ49" s="5"/>
      <c r="AK49" s="5"/>
      <c r="AL49" s="5"/>
      <c r="AM49" s="5"/>
      <c r="AN49" s="40"/>
      <c r="AO49" s="5"/>
      <c r="AP49" s="5"/>
      <c r="AQ49" s="28"/>
    </row>
    <row r="50" spans="1:43" x14ac:dyDescent="0.2">
      <c r="A50" s="32">
        <v>24</v>
      </c>
      <c r="B50" s="245">
        <v>0</v>
      </c>
      <c r="C50" s="169">
        <v>30.2864</v>
      </c>
      <c r="D50" s="48">
        <f>AVERAGE(6,3)/10^(-5)/0.1</f>
        <v>4499999.9999999991</v>
      </c>
      <c r="E50" s="240">
        <f t="shared" si="8"/>
        <v>1.1987999999999996</v>
      </c>
      <c r="G50" s="199" t="s">
        <v>96</v>
      </c>
      <c r="H50" s="199">
        <f>0.9*0.024</f>
        <v>2.1600000000000001E-2</v>
      </c>
      <c r="I50" s="5"/>
      <c r="J50" s="110"/>
      <c r="K50" s="199"/>
      <c r="L50" s="110"/>
      <c r="M50" s="200" t="s">
        <v>328</v>
      </c>
      <c r="N50" s="229">
        <f>AVERAGE('4 Amount of released glucose'!D10:D18)*'8 30% adapt. X=10'!H43*'8 30% adapt. X=10'!H44</f>
        <v>87.296317767830757</v>
      </c>
      <c r="P50" s="36"/>
      <c r="Q50" s="36"/>
      <c r="R50" s="5"/>
      <c r="T50" s="36"/>
      <c r="U50" s="36"/>
      <c r="V50" s="251">
        <f t="shared" si="9"/>
        <v>15</v>
      </c>
      <c r="W50" s="252">
        <v>1.2419999999999998</v>
      </c>
      <c r="X50" s="253">
        <f t="shared" si="10"/>
        <v>0</v>
      </c>
      <c r="Y50" s="254">
        <f>D48*(X56-COUNT($V$45:V49)*0.024*1000)</f>
        <v>662400000000</v>
      </c>
      <c r="Z50" s="255">
        <f t="shared" si="11"/>
        <v>35.036447399999993</v>
      </c>
      <c r="AA50" s="256">
        <f t="shared" si="13"/>
        <v>0.16580000000000045</v>
      </c>
      <c r="AB50" s="254">
        <f t="shared" si="14"/>
        <v>3.1087500000000088E-13</v>
      </c>
      <c r="AC50" s="259">
        <f t="shared" si="12"/>
        <v>3.5563888739418812</v>
      </c>
      <c r="AD50" s="5"/>
      <c r="AG50" s="5"/>
      <c r="AH50" s="5"/>
      <c r="AI50" s="5"/>
      <c r="AJ50" s="5"/>
      <c r="AK50" s="5"/>
      <c r="AL50" s="5"/>
      <c r="AM50" s="5"/>
      <c r="AN50" s="40"/>
      <c r="AO50" s="5"/>
      <c r="AP50" s="216"/>
      <c r="AQ50" s="212"/>
    </row>
    <row r="51" spans="1:43" ht="17" x14ac:dyDescent="0.25">
      <c r="A51" s="32">
        <v>27</v>
      </c>
      <c r="B51" s="245">
        <v>0</v>
      </c>
      <c r="C51" s="169">
        <v>30.328199999999999</v>
      </c>
      <c r="D51" s="48">
        <f>AVERAGE(81,79)/10^(-5)/0.1</f>
        <v>79999999.999999985</v>
      </c>
      <c r="E51" s="240">
        <f t="shared" si="8"/>
        <v>1.1771999999999996</v>
      </c>
      <c r="G51" s="200" t="s">
        <v>97</v>
      </c>
      <c r="H51" s="230">
        <f>H50*(SUM(B43:B54))</f>
        <v>0.95981544000000019</v>
      </c>
      <c r="I51" s="5"/>
      <c r="J51" s="110"/>
      <c r="K51" s="110"/>
      <c r="L51" s="110"/>
      <c r="M51" s="200" t="s">
        <v>329</v>
      </c>
      <c r="N51" s="229">
        <f>AVERAGE('4 Amount of released glucose'!D64:D72)*'8 30% adapt. X=10'!H43*'8 30% adapt. X=10'!H44</f>
        <v>52.562497070705575</v>
      </c>
      <c r="P51" s="5"/>
      <c r="Q51" s="5"/>
      <c r="R51" s="5"/>
      <c r="T51" s="5"/>
      <c r="U51" s="5"/>
      <c r="V51" s="46">
        <f t="shared" si="9"/>
        <v>21</v>
      </c>
      <c r="W51" s="245">
        <v>1.2203999999999997</v>
      </c>
      <c r="X51" s="169">
        <f t="shared" si="10"/>
        <v>2.6360639999999994E-2</v>
      </c>
      <c r="Y51" s="54">
        <f>D49*(X56-COUNT($V$45:V50)*0.024*1000)</f>
        <v>29154000000</v>
      </c>
      <c r="Z51" s="240">
        <f t="shared" si="11"/>
        <v>35.863772759999989</v>
      </c>
      <c r="AA51" s="243">
        <f t="shared" si="13"/>
        <v>0.2652888888888888</v>
      </c>
      <c r="AB51" s="284">
        <f t="shared" si="14"/>
        <v>1.1105116279069764E-11</v>
      </c>
      <c r="AC51" s="235">
        <f t="shared" si="12"/>
        <v>3.5797276706742425</v>
      </c>
      <c r="AD51" s="5"/>
      <c r="AG51" s="5"/>
      <c r="AH51" s="5"/>
      <c r="AI51" s="5"/>
      <c r="AJ51" s="5"/>
      <c r="AK51" s="5"/>
      <c r="AL51" s="5"/>
      <c r="AM51" s="5"/>
      <c r="AN51" s="40"/>
      <c r="AO51" s="5"/>
      <c r="AP51" s="216"/>
      <c r="AQ51" s="212"/>
    </row>
    <row r="52" spans="1:43" x14ac:dyDescent="0.2">
      <c r="A52" s="32">
        <v>30</v>
      </c>
      <c r="B52" s="245">
        <v>0</v>
      </c>
      <c r="C52" s="169">
        <v>32.011600000000001</v>
      </c>
      <c r="D52" s="48">
        <f>AVERAGE(1)/10^(-5)/0.1</f>
        <v>999999.99999999977</v>
      </c>
      <c r="E52" s="240">
        <f t="shared" si="8"/>
        <v>1.1555999999999995</v>
      </c>
      <c r="G52" s="200" t="s">
        <v>98</v>
      </c>
      <c r="H52" s="230">
        <f>H50*(SUM(C43:C54))</f>
        <v>6.1967268000000013</v>
      </c>
      <c r="I52" s="5"/>
      <c r="J52" s="110"/>
      <c r="K52" s="110"/>
      <c r="L52" s="110"/>
      <c r="M52" s="200" t="s">
        <v>330</v>
      </c>
      <c r="N52" s="230">
        <f>N50-N51</f>
        <v>34.733820697125182</v>
      </c>
      <c r="P52" s="5"/>
      <c r="Q52" s="5"/>
      <c r="R52" s="5"/>
      <c r="T52" s="5"/>
      <c r="U52" s="5"/>
      <c r="V52" s="46">
        <f t="shared" si="9"/>
        <v>24</v>
      </c>
      <c r="W52" s="245">
        <v>1.1987999999999996</v>
      </c>
      <c r="X52" s="169">
        <f t="shared" si="10"/>
        <v>0</v>
      </c>
      <c r="Y52" s="54">
        <f>D50*(X56-COUNT($V$45:V51)*0.024*1000)</f>
        <v>5993999999.999999</v>
      </c>
      <c r="Z52" s="240">
        <f t="shared" si="11"/>
        <v>36.30733631999999</v>
      </c>
      <c r="AA52" s="243">
        <f t="shared" si="13"/>
        <v>0.15688333333333304</v>
      </c>
      <c r="AB52" s="284">
        <f t="shared" si="14"/>
        <v>3.1376666666666616E-11</v>
      </c>
      <c r="AC52" s="235">
        <f t="shared" si="12"/>
        <v>3.592019823330189</v>
      </c>
      <c r="AD52" s="5"/>
      <c r="AG52" s="5"/>
      <c r="AH52" s="5"/>
      <c r="AI52" s="5"/>
      <c r="AJ52" s="5"/>
      <c r="AK52" s="5"/>
      <c r="AL52" s="5"/>
      <c r="AM52" s="5"/>
      <c r="AN52" s="40"/>
      <c r="AO52" s="5"/>
      <c r="AP52" s="216"/>
      <c r="AQ52" s="212"/>
    </row>
    <row r="53" spans="1:43" x14ac:dyDescent="0.2">
      <c r="A53" s="32">
        <v>33</v>
      </c>
      <c r="B53" s="245">
        <v>3.0999999999999999E-3</v>
      </c>
      <c r="C53" s="169">
        <v>32.897300000000001</v>
      </c>
      <c r="D53" s="6"/>
      <c r="E53" s="240">
        <f t="shared" si="8"/>
        <v>1.1339999999999995</v>
      </c>
      <c r="J53" s="110"/>
      <c r="K53" s="110"/>
      <c r="L53" s="110"/>
      <c r="M53" s="110"/>
      <c r="N53" s="199"/>
      <c r="P53" s="5"/>
      <c r="Q53" s="5"/>
      <c r="R53" s="5"/>
      <c r="T53" s="5"/>
      <c r="U53" s="5"/>
      <c r="V53" s="46">
        <f t="shared" si="9"/>
        <v>27</v>
      </c>
      <c r="W53" s="245">
        <v>1.1771999999999996</v>
      </c>
      <c r="X53" s="169">
        <f t="shared" si="10"/>
        <v>0</v>
      </c>
      <c r="Y53" s="54">
        <f>D51*(X56-COUNT($V$45:V52)*0.024*1000)</f>
        <v>104639999999.99998</v>
      </c>
      <c r="Z53" s="240">
        <f t="shared" si="11"/>
        <v>35.702357039999988</v>
      </c>
      <c r="AA53" s="243">
        <f>((A51-A50)/(A52-A50)*(C52-C51)/(A52-A51))+((C51-C50)/(A51-A50)*(A52-A51)/(A52-A50))</f>
        <v>0.28753333333333347</v>
      </c>
      <c r="AB53" s="284">
        <f t="shared" si="14"/>
        <v>3.2347500000000021E-12</v>
      </c>
      <c r="AC53" s="235">
        <f t="shared" si="12"/>
        <v>3.5752167101355474</v>
      </c>
      <c r="AD53" s="5"/>
      <c r="AG53" s="5"/>
      <c r="AH53" s="5"/>
      <c r="AI53" s="5"/>
      <c r="AJ53" s="5"/>
      <c r="AK53" s="5"/>
      <c r="AL53" s="5"/>
      <c r="AM53" s="5"/>
      <c r="AN53" s="40"/>
      <c r="AO53" s="5"/>
      <c r="AP53" s="216"/>
      <c r="AQ53" s="212"/>
    </row>
    <row r="54" spans="1:43" ht="16" thickBot="1" x14ac:dyDescent="0.25">
      <c r="A54" s="32">
        <v>36</v>
      </c>
      <c r="B54" s="245">
        <v>0.1651</v>
      </c>
      <c r="C54" s="169">
        <v>33.083399999999997</v>
      </c>
      <c r="D54" s="6"/>
      <c r="E54" s="240">
        <f t="shared" si="8"/>
        <v>1.1123999999999994</v>
      </c>
      <c r="J54" s="110"/>
      <c r="K54" s="110"/>
      <c r="L54" s="110"/>
      <c r="M54" s="196" t="s">
        <v>347</v>
      </c>
      <c r="N54" s="233">
        <f>N52+K49-N45-H51</f>
        <v>37.474087887205634</v>
      </c>
      <c r="P54" s="36"/>
      <c r="Q54" s="5"/>
      <c r="R54" s="5"/>
      <c r="T54" s="5"/>
      <c r="U54" s="5"/>
      <c r="V54" s="31">
        <f t="shared" si="9"/>
        <v>30</v>
      </c>
      <c r="W54" s="246">
        <v>1.1555999999999995</v>
      </c>
      <c r="X54" s="238">
        <f t="shared" si="10"/>
        <v>0</v>
      </c>
      <c r="Y54" s="65">
        <f>D52*(X56-COUNT($V$45:V53)*0.024*1000)</f>
        <v>1283999999.9999998</v>
      </c>
      <c r="Z54" s="242">
        <f t="shared" si="11"/>
        <v>36.992604959999987</v>
      </c>
      <c r="AA54" s="217"/>
      <c r="AB54" s="279"/>
      <c r="AC54" s="236">
        <f t="shared" si="12"/>
        <v>3.6107180267224184</v>
      </c>
      <c r="AD54" s="5"/>
      <c r="AG54" s="5"/>
      <c r="AH54" s="5"/>
      <c r="AI54" s="5"/>
      <c r="AJ54" s="5"/>
      <c r="AK54" s="5"/>
      <c r="AL54" s="5"/>
      <c r="AM54" s="5"/>
      <c r="AN54" s="40"/>
      <c r="AO54" s="5"/>
      <c r="AP54" s="216"/>
      <c r="AQ54" s="212"/>
    </row>
    <row r="55" spans="1:43" ht="16" thickBot="1" x14ac:dyDescent="0.25">
      <c r="A55" s="42">
        <v>48</v>
      </c>
      <c r="B55" s="246">
        <v>0.1166</v>
      </c>
      <c r="C55" s="238">
        <v>34.041899999999998</v>
      </c>
      <c r="D55" s="9"/>
      <c r="E55" s="242">
        <f t="shared" si="8"/>
        <v>1.0907999999999993</v>
      </c>
      <c r="H55" s="36"/>
      <c r="I55" s="5"/>
      <c r="J55" s="5"/>
      <c r="P55" s="36"/>
      <c r="Q55" s="36"/>
      <c r="R55" s="5"/>
      <c r="T55" s="36"/>
      <c r="U55" s="5"/>
      <c r="W55" s="5"/>
      <c r="X55" s="5"/>
      <c r="Y55" s="5"/>
      <c r="Z55" s="5"/>
      <c r="AA55" s="205"/>
      <c r="AB55" s="206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40"/>
      <c r="AO55" s="5"/>
      <c r="AP55" s="216"/>
      <c r="AQ55" s="212"/>
    </row>
    <row r="56" spans="1:43" ht="16" thickBot="1" x14ac:dyDescent="0.25">
      <c r="A56" s="51"/>
      <c r="D56" s="222"/>
      <c r="H56" s="5"/>
      <c r="I56" s="5"/>
      <c r="J56" s="36"/>
      <c r="K56" s="5"/>
      <c r="L56" s="5"/>
      <c r="M56" s="5"/>
      <c r="P56" s="5"/>
      <c r="Q56" s="5"/>
      <c r="R56" s="5"/>
      <c r="T56" s="5"/>
      <c r="U56" s="5"/>
      <c r="V56" s="44" t="s">
        <v>94</v>
      </c>
      <c r="W56" s="59"/>
      <c r="X56" s="60">
        <f>H45*1000+H44</f>
        <v>1500</v>
      </c>
      <c r="Y56" s="36"/>
      <c r="Z56" s="10" t="s">
        <v>93</v>
      </c>
      <c r="AA56" s="301">
        <f>MAX(AA46:AA49)</f>
        <v>2.9247166666666669</v>
      </c>
      <c r="AB56" s="302">
        <f>MAX(AB46:AB49)</f>
        <v>3.5856410256410262E-11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0"/>
      <c r="AO56" s="5"/>
      <c r="AP56" s="216"/>
      <c r="AQ56" s="212"/>
    </row>
    <row r="57" spans="1:43" ht="18" thickBot="1" x14ac:dyDescent="0.25">
      <c r="A57" s="11" t="s">
        <v>296</v>
      </c>
      <c r="H57" s="36"/>
      <c r="I57" s="5"/>
      <c r="J57" s="197"/>
      <c r="K57" s="5"/>
      <c r="L57" s="5"/>
      <c r="M57" s="5"/>
      <c r="P57" s="5"/>
      <c r="Q57" s="5"/>
      <c r="R57" s="5"/>
      <c r="T57" s="5"/>
      <c r="U57" s="5"/>
      <c r="W57" s="5"/>
      <c r="X57" s="5"/>
      <c r="Y57" s="39"/>
      <c r="Z57" s="10" t="s">
        <v>99</v>
      </c>
      <c r="AA57" s="303">
        <f>(C48-C43)/A48</f>
        <v>1.8502066666666666</v>
      </c>
      <c r="AB57" s="304">
        <f>AVERAGE(AB46:AB49)</f>
        <v>1.1772090421245423E-11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40"/>
      <c r="AO57" s="5"/>
      <c r="AP57" s="216"/>
      <c r="AQ57" s="212"/>
    </row>
    <row r="58" spans="1:43" ht="17" x14ac:dyDescent="0.2">
      <c r="A58" s="49" t="s">
        <v>297</v>
      </c>
      <c r="H58" s="36"/>
      <c r="I58" s="5"/>
      <c r="J58" s="36"/>
      <c r="K58" s="36"/>
      <c r="L58" s="36"/>
      <c r="M58" s="5"/>
      <c r="P58" s="36"/>
      <c r="Q58" s="197"/>
      <c r="R58" s="5"/>
      <c r="T58" s="36"/>
      <c r="U58" s="36"/>
      <c r="W58" s="5"/>
      <c r="X58" s="5"/>
      <c r="Y58" s="5"/>
      <c r="Z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40"/>
      <c r="AO58" s="5"/>
      <c r="AP58" s="5"/>
      <c r="AQ58" s="212"/>
    </row>
    <row r="59" spans="1:43" ht="17" x14ac:dyDescent="0.2">
      <c r="A59" s="49" t="s">
        <v>299</v>
      </c>
      <c r="H59" s="5"/>
      <c r="I59" s="5"/>
      <c r="J59" s="5"/>
      <c r="K59" s="5"/>
      <c r="L59" s="5"/>
      <c r="M59" s="5"/>
      <c r="P59" s="36"/>
      <c r="Q59" s="36"/>
      <c r="R59" s="5"/>
      <c r="T59" s="36"/>
      <c r="U59" s="36"/>
      <c r="V59" s="5"/>
      <c r="Z59" s="5"/>
      <c r="AA59" s="5"/>
      <c r="AB59" s="5"/>
      <c r="AI59" s="5"/>
      <c r="AJ59" s="5"/>
      <c r="AK59" s="5"/>
      <c r="AL59" s="5"/>
      <c r="AM59" s="5"/>
      <c r="AN59" s="5"/>
      <c r="AO59" s="5"/>
      <c r="AP59" s="5"/>
      <c r="AQ59" s="212"/>
    </row>
    <row r="60" spans="1:43" ht="17" x14ac:dyDescent="0.2">
      <c r="A60" s="49" t="s">
        <v>385</v>
      </c>
      <c r="H60" s="5"/>
      <c r="I60" s="5"/>
      <c r="J60" s="36"/>
      <c r="K60" s="5"/>
      <c r="L60" s="5"/>
      <c r="M60" s="5"/>
      <c r="P60" s="5"/>
      <c r="Q60" s="5"/>
      <c r="R60" s="5"/>
      <c r="AI60" s="5"/>
      <c r="AJ60" s="5"/>
      <c r="AK60" s="5"/>
      <c r="AL60" s="5"/>
      <c r="AM60" s="5"/>
      <c r="AN60" s="5"/>
      <c r="AO60" s="5"/>
      <c r="AP60" s="5"/>
      <c r="AQ60" s="212"/>
    </row>
    <row r="61" spans="1:43" ht="17" x14ac:dyDescent="0.2">
      <c r="A61" s="49" t="s">
        <v>308</v>
      </c>
      <c r="H61" s="36"/>
      <c r="I61" s="36"/>
      <c r="J61" s="36"/>
      <c r="K61" s="5"/>
      <c r="L61" s="5"/>
      <c r="M61" s="5"/>
      <c r="P61" s="5"/>
      <c r="Q61" s="5"/>
      <c r="R61" s="5"/>
      <c r="S61" s="191" t="s">
        <v>372</v>
      </c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7" x14ac:dyDescent="0.2">
      <c r="A62" s="49" t="s">
        <v>320</v>
      </c>
      <c r="H62" s="36"/>
      <c r="I62" s="36"/>
      <c r="J62" s="5"/>
      <c r="K62" s="5"/>
      <c r="L62" s="5"/>
      <c r="M62" s="5"/>
      <c r="S62" s="198" t="s">
        <v>82</v>
      </c>
      <c r="W62" s="198" t="s">
        <v>90</v>
      </c>
      <c r="AI62" s="5"/>
      <c r="AJ62" s="36"/>
      <c r="AK62" s="5"/>
      <c r="AL62" s="5"/>
      <c r="AM62" s="5"/>
      <c r="AN62" s="5"/>
      <c r="AO62" s="195"/>
      <c r="AP62" s="213"/>
      <c r="AQ62" s="214"/>
    </row>
    <row r="63" spans="1:43" x14ac:dyDescent="0.2">
      <c r="H63" s="5"/>
      <c r="I63" s="5"/>
      <c r="J63" s="36"/>
      <c r="K63" s="5"/>
      <c r="L63" s="5"/>
      <c r="M63" s="5"/>
      <c r="U63" s="196" t="s">
        <v>383</v>
      </c>
      <c r="X63" s="247" t="s">
        <v>217</v>
      </c>
      <c r="Y63" s="247" t="s">
        <v>383</v>
      </c>
      <c r="Z63" s="247" t="s">
        <v>83</v>
      </c>
      <c r="AA63" s="247" t="s">
        <v>383</v>
      </c>
      <c r="AI63" s="5"/>
      <c r="AJ63" s="5"/>
      <c r="AK63" s="5"/>
      <c r="AL63" s="5"/>
      <c r="AM63" s="5"/>
      <c r="AN63" s="5"/>
      <c r="AO63" s="195"/>
      <c r="AP63" s="213"/>
      <c r="AQ63" s="214"/>
    </row>
    <row r="64" spans="1:43" ht="18" x14ac:dyDescent="0.25">
      <c r="J64" s="5"/>
      <c r="K64" s="36"/>
      <c r="L64" s="36"/>
      <c r="M64" s="5"/>
      <c r="S64" s="196" t="s">
        <v>348</v>
      </c>
      <c r="T64" s="226">
        <f>AVERAGE(T13,T43)</f>
        <v>1.0230703909291643</v>
      </c>
      <c r="U64" s="226">
        <f>T64-T13</f>
        <v>0.11673643902127384</v>
      </c>
      <c r="X64" s="247" t="s">
        <v>323</v>
      </c>
      <c r="Y64" s="247"/>
      <c r="Z64" s="247" t="s">
        <v>384</v>
      </c>
      <c r="AA64" s="247"/>
      <c r="AI64" s="5"/>
      <c r="AJ64" s="5"/>
      <c r="AK64" s="5"/>
      <c r="AL64" s="5"/>
      <c r="AM64" s="5"/>
      <c r="AN64" s="5"/>
      <c r="AO64" s="5"/>
      <c r="AP64" s="5"/>
      <c r="AQ64" s="5"/>
    </row>
    <row r="65" spans="2:43" ht="17" x14ac:dyDescent="0.25">
      <c r="B65" s="10"/>
      <c r="J65" s="5"/>
      <c r="K65" s="5"/>
      <c r="L65" s="5"/>
      <c r="M65" s="5"/>
      <c r="S65" s="196" t="s">
        <v>374</v>
      </c>
      <c r="T65" s="226">
        <f>AVERAGE(T14,T44)</f>
        <v>1.1047406444584904</v>
      </c>
      <c r="U65" s="226">
        <f>T65-T14</f>
        <v>0.12498935537234368</v>
      </c>
      <c r="W65" s="247" t="s">
        <v>93</v>
      </c>
      <c r="X65" s="248">
        <f>AVERAGE(AA56,AA26)</f>
        <v>2.8311333333333333</v>
      </c>
      <c r="Y65" s="248">
        <f>X65-AA26</f>
        <v>9.3583333333333574E-2</v>
      </c>
      <c r="Z65" s="248">
        <f>AVERAGE(AB56,AB26)*10^11</f>
        <v>2.8012137167040079</v>
      </c>
      <c r="AA65" s="248">
        <f>Z65-AB26*10^11</f>
        <v>0.78442730893701818</v>
      </c>
      <c r="AI65" s="5"/>
      <c r="AJ65" s="5"/>
      <c r="AK65" s="5"/>
      <c r="AL65" s="5"/>
      <c r="AM65" s="5"/>
      <c r="AN65" s="5"/>
      <c r="AO65" s="5"/>
      <c r="AP65" s="5"/>
      <c r="AQ65" s="5"/>
    </row>
    <row r="66" spans="2:43" ht="17" x14ac:dyDescent="0.25">
      <c r="J66" s="5"/>
      <c r="K66" s="5"/>
      <c r="L66" s="5"/>
      <c r="M66" s="5"/>
      <c r="S66" s="196" t="s">
        <v>375</v>
      </c>
      <c r="T66" s="226">
        <f>AVERAGE(T15,T45)</f>
        <v>0.26807186879999984</v>
      </c>
      <c r="U66" s="226">
        <f>T66-T15</f>
        <v>1.6682939999999979E-2</v>
      </c>
      <c r="W66" s="247" t="s">
        <v>99</v>
      </c>
      <c r="X66" s="248">
        <f>AVERAGE(AA57,AA27)</f>
        <v>1.7432433333333333</v>
      </c>
      <c r="Y66" s="248">
        <f>X66-AA27</f>
        <v>0.1069633333333333</v>
      </c>
      <c r="Z66" s="248">
        <f>AVERAGE(AB57,AB27)*10^11</f>
        <v>1.1118306526681323</v>
      </c>
      <c r="AA66" s="248">
        <f>Z66-(AB27*10^11)</f>
        <v>6.5378389456409947E-2</v>
      </c>
      <c r="AI66" s="5"/>
      <c r="AJ66" s="36"/>
      <c r="AK66" s="5"/>
      <c r="AL66" s="5"/>
      <c r="AM66" s="5"/>
      <c r="AN66" s="5"/>
      <c r="AO66" s="5"/>
      <c r="AP66" s="5"/>
      <c r="AQ66" s="5"/>
    </row>
    <row r="67" spans="2:43" x14ac:dyDescent="0.2">
      <c r="AI67" s="5"/>
      <c r="AJ67" s="5"/>
      <c r="AK67" s="5"/>
      <c r="AL67" s="5"/>
      <c r="AM67" s="5"/>
      <c r="AN67" s="5"/>
      <c r="AO67" s="5"/>
      <c r="AP67" s="5"/>
      <c r="AQ67" s="5"/>
    </row>
    <row r="68" spans="2:43" ht="17" x14ac:dyDescent="0.2">
      <c r="L68" s="49"/>
    </row>
    <row r="69" spans="2:43" ht="17" x14ac:dyDescent="0.2">
      <c r="L69" s="49"/>
    </row>
    <row r="70" spans="2:43" ht="17" x14ac:dyDescent="0.2">
      <c r="L70" s="49"/>
    </row>
    <row r="71" spans="2:43" ht="17" x14ac:dyDescent="0.2">
      <c r="L71" s="49"/>
    </row>
  </sheetData>
  <mergeCells count="1">
    <mergeCell ref="AA33:A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 of Excel file</vt:lpstr>
      <vt:lpstr>1 Samples</vt:lpstr>
      <vt:lpstr>2 Raw data HPLC </vt:lpstr>
      <vt:lpstr>3 Sugar recovery standards</vt:lpstr>
      <vt:lpstr>4 Amount of released glucose</vt:lpstr>
      <vt:lpstr>5 No pre-adapt. X=5mg</vt:lpstr>
      <vt:lpstr>6 No pre-adapt. X=10mg</vt:lpstr>
      <vt:lpstr>7 30% adapt. X=5mg</vt:lpstr>
      <vt:lpstr>8 30% adapt. X=10</vt:lpstr>
      <vt:lpstr>9 40% adapt., X=5mg</vt:lpstr>
      <vt:lpstr>10 40% adapt. X=10mg</vt:lpstr>
      <vt:lpstr>11 50% adapt. X=10mg</vt:lpstr>
      <vt:lpstr>12 Overview</vt:lpstr>
      <vt:lpstr>13 Additional graphs</vt:lpstr>
    </vt:vector>
  </TitlesOfParts>
  <Company>Chalmers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Nickel</dc:creator>
  <cp:lastModifiedBy>Salvatore Fusco</cp:lastModifiedBy>
  <cp:lastPrinted>2019-01-16T10:06:09Z</cp:lastPrinted>
  <dcterms:created xsi:type="dcterms:W3CDTF">2017-06-25T08:33:13Z</dcterms:created>
  <dcterms:modified xsi:type="dcterms:W3CDTF">2019-01-18T13:23:11Z</dcterms:modified>
</cp:coreProperties>
</file>