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dc.gov\private\M321\vnn9\1_Projects\ONGOING\2015_7_Shigellosis\Resubmission - BMCID\ReviseResubmit3\"/>
    </mc:Choice>
  </mc:AlternateContent>
  <bookViews>
    <workbookView xWindow="0" yWindow="0" windowWidth="13335" windowHeight="7530" tabRatio="877"/>
  </bookViews>
  <sheets>
    <sheet name="Title" sheetId="14" r:id="rId1"/>
    <sheet name="Description" sheetId="6" r:id="rId2"/>
    <sheet name="Index" sheetId="15" r:id="rId3"/>
    <sheet name="Inputs - Policies" sheetId="2" r:id="rId4"/>
    <sheet name="Inputs - Treatment" sheetId="8" r:id="rId5"/>
    <sheet name="Inputs - Outbreak" sheetId="9" r:id="rId6"/>
    <sheet name="Results 1" sheetId="13" r:id="rId7"/>
    <sheet name="Results 2" sheetId="5" r:id="rId8"/>
    <sheet name="Results 3" sheetId="12" r:id="rId9"/>
    <sheet name="Calculations 1" sheetId="10" r:id="rId10"/>
    <sheet name="Calculations 2" sheetId="7" r:id="rId11"/>
    <sheet name="Sources (2)" sheetId="4" state="hidden"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6" i="10" l="1"/>
  <c r="N16" i="10"/>
  <c r="O16" i="10"/>
  <c r="G15" i="8" l="1"/>
  <c r="B118" i="12" l="1"/>
  <c r="K14" i="10"/>
  <c r="E14" i="10"/>
  <c r="M15" i="8"/>
  <c r="L14" i="10" s="1"/>
  <c r="U40" i="10" s="1"/>
  <c r="J15" i="8"/>
  <c r="I14" i="10" s="1"/>
  <c r="O40" i="10" s="1"/>
  <c r="F14" i="10"/>
  <c r="E27" i="10"/>
  <c r="E40" i="10" s="1"/>
  <c r="AI47" i="10" s="1"/>
  <c r="F27" i="10"/>
  <c r="G27" i="10"/>
  <c r="H27" i="10"/>
  <c r="I27" i="10"/>
  <c r="I14" i="7" s="1"/>
  <c r="J27" i="10"/>
  <c r="K27" i="10"/>
  <c r="L27" i="10"/>
  <c r="R40" i="10" s="1"/>
  <c r="D27" i="10"/>
  <c r="D40" i="10" s="1"/>
  <c r="O12" i="10"/>
  <c r="O25" i="10" s="1"/>
  <c r="N12" i="10"/>
  <c r="N25" i="10" s="1"/>
  <c r="W38" i="10" s="1"/>
  <c r="M12" i="10"/>
  <c r="M25" i="10" s="1"/>
  <c r="M12" i="7" s="1"/>
  <c r="O11" i="10"/>
  <c r="O24" i="10" s="1"/>
  <c r="N11" i="10"/>
  <c r="N24" i="10" s="1"/>
  <c r="M11" i="10"/>
  <c r="O10" i="10"/>
  <c r="O23" i="10" s="1"/>
  <c r="M10" i="10"/>
  <c r="M23" i="10" s="1"/>
  <c r="M10" i="7" s="1"/>
  <c r="O9" i="10"/>
  <c r="N9" i="10"/>
  <c r="N22" i="10" s="1"/>
  <c r="M9" i="10"/>
  <c r="M22" i="10" s="1"/>
  <c r="L12" i="10"/>
  <c r="L25" i="10" s="1"/>
  <c r="L12" i="7" s="1"/>
  <c r="J12" i="10"/>
  <c r="J25" i="10" s="1"/>
  <c r="J12" i="7" s="1"/>
  <c r="L11" i="10"/>
  <c r="L24" i="10" s="1"/>
  <c r="R37" i="10" s="1"/>
  <c r="K11" i="10"/>
  <c r="K24" i="10" s="1"/>
  <c r="Q37" i="10" s="1"/>
  <c r="J11" i="10"/>
  <c r="L10" i="10"/>
  <c r="L23" i="10" s="1"/>
  <c r="J10" i="10"/>
  <c r="J23" i="10" s="1"/>
  <c r="P36" i="10" s="1"/>
  <c r="L9" i="10"/>
  <c r="L22" i="10" s="1"/>
  <c r="L9" i="7" s="1"/>
  <c r="K9" i="10"/>
  <c r="K22" i="10" s="1"/>
  <c r="Q35" i="10" s="1"/>
  <c r="E49" i="10" s="1"/>
  <c r="J9" i="10"/>
  <c r="J22" i="10" s="1"/>
  <c r="J9" i="7" s="1"/>
  <c r="I12" i="10"/>
  <c r="I25" i="10" s="1"/>
  <c r="I12" i="7" s="1"/>
  <c r="G12" i="10"/>
  <c r="G25" i="10" s="1"/>
  <c r="G12" i="7" s="1"/>
  <c r="I11" i="10"/>
  <c r="I24" i="10" s="1"/>
  <c r="H11" i="10"/>
  <c r="H24" i="10" s="1"/>
  <c r="G11" i="10"/>
  <c r="G24" i="10" s="1"/>
  <c r="J37" i="10" s="1"/>
  <c r="I10" i="10"/>
  <c r="I23" i="10" s="1"/>
  <c r="I10" i="7" s="1"/>
  <c r="G10" i="10"/>
  <c r="G23" i="10" s="1"/>
  <c r="J36" i="10" s="1"/>
  <c r="I9" i="10"/>
  <c r="O35" i="10" s="1"/>
  <c r="H9" i="10"/>
  <c r="H22" i="10" s="1"/>
  <c r="H9" i="7" s="1"/>
  <c r="G9" i="10"/>
  <c r="G22" i="10" s="1"/>
  <c r="F10" i="10"/>
  <c r="F23" i="10" s="1"/>
  <c r="F36" i="10" s="1"/>
  <c r="D10" i="10"/>
  <c r="D23" i="10" s="1"/>
  <c r="D36" i="10" s="1"/>
  <c r="F9" i="10"/>
  <c r="F22" i="10" s="1"/>
  <c r="E9" i="10"/>
  <c r="E22" i="10" s="1"/>
  <c r="D9" i="10"/>
  <c r="F12" i="10"/>
  <c r="F25" i="10" s="1"/>
  <c r="F11" i="10"/>
  <c r="F24" i="10" s="1"/>
  <c r="F37" i="10" s="1"/>
  <c r="E11" i="10"/>
  <c r="D12" i="10"/>
  <c r="D25" i="10" s="1"/>
  <c r="D11" i="10"/>
  <c r="D24" i="10" s="1"/>
  <c r="D11" i="7" s="1"/>
  <c r="J14" i="10"/>
  <c r="S40" i="10" s="1"/>
  <c r="L16" i="10"/>
  <c r="K16" i="10"/>
  <c r="J16" i="10"/>
  <c r="V32" i="10"/>
  <c r="P32" i="10"/>
  <c r="J32" i="10"/>
  <c r="D32" i="10"/>
  <c r="C54" i="10"/>
  <c r="C55" i="10"/>
  <c r="C56" i="10"/>
  <c r="C53" i="10"/>
  <c r="C28" i="8"/>
  <c r="D53" i="10"/>
  <c r="D54" i="10"/>
  <c r="E53" i="10"/>
  <c r="F53" i="10"/>
  <c r="E54" i="10"/>
  <c r="F54" i="10"/>
  <c r="E55" i="10"/>
  <c r="F55" i="10"/>
  <c r="D55" i="10"/>
  <c r="N13" i="7"/>
  <c r="O13" i="7"/>
  <c r="M13" i="7"/>
  <c r="K13" i="7"/>
  <c r="L13" i="7"/>
  <c r="J13" i="7"/>
  <c r="H13" i="7"/>
  <c r="I13" i="7"/>
  <c r="G13" i="7"/>
  <c r="E13" i="7"/>
  <c r="F13" i="7"/>
  <c r="D13" i="7"/>
  <c r="F39" i="10"/>
  <c r="O13" i="10"/>
  <c r="AA39" i="10" s="1"/>
  <c r="N14" i="10"/>
  <c r="Z40" i="10" s="1"/>
  <c r="O14" i="10"/>
  <c r="AA40" i="10" s="1"/>
  <c r="M14" i="10"/>
  <c r="Y40" i="10"/>
  <c r="M13" i="10"/>
  <c r="Y39" i="10" s="1"/>
  <c r="Y38" i="10"/>
  <c r="L13" i="10"/>
  <c r="J13" i="10"/>
  <c r="H13" i="10"/>
  <c r="N39" i="10" s="1"/>
  <c r="AF48" i="10" s="1"/>
  <c r="I13" i="10"/>
  <c r="H15" i="10"/>
  <c r="N41" i="10" s="1"/>
  <c r="AR48" i="10" s="1"/>
  <c r="I15" i="10"/>
  <c r="G13" i="10"/>
  <c r="M39" i="10" s="1"/>
  <c r="G15" i="10"/>
  <c r="M41" i="10" s="1"/>
  <c r="G14" i="10"/>
  <c r="M40" i="10" s="1"/>
  <c r="D15" i="10"/>
  <c r="D14" i="10"/>
  <c r="D13" i="10"/>
  <c r="E15" i="10"/>
  <c r="F15" i="10"/>
  <c r="I41" i="10" s="1"/>
  <c r="E13" i="10"/>
  <c r="F13" i="10"/>
  <c r="I39" i="10" s="1"/>
  <c r="M28" i="10"/>
  <c r="V41" i="10" s="1"/>
  <c r="O28" i="10"/>
  <c r="O15" i="7" s="1"/>
  <c r="X41" i="10"/>
  <c r="P40" i="10"/>
  <c r="J28" i="10"/>
  <c r="P41" i="10" s="1"/>
  <c r="L28" i="10"/>
  <c r="L40" i="10"/>
  <c r="G28" i="10"/>
  <c r="G15" i="7" s="1"/>
  <c r="H28" i="10"/>
  <c r="H15" i="7" s="1"/>
  <c r="I28" i="10"/>
  <c r="I15" i="7" s="1"/>
  <c r="E28" i="10"/>
  <c r="E15" i="7" s="1"/>
  <c r="F28" i="10"/>
  <c r="D28" i="10"/>
  <c r="D41" i="10" s="1"/>
  <c r="E27" i="8"/>
  <c r="D27" i="8"/>
  <c r="X40" i="10"/>
  <c r="W40" i="10"/>
  <c r="V40" i="10"/>
  <c r="X39" i="10"/>
  <c r="W39" i="10"/>
  <c r="V39" i="10"/>
  <c r="R39" i="10"/>
  <c r="Q39" i="10"/>
  <c r="AC49" i="10" s="1"/>
  <c r="P39" i="10"/>
  <c r="L39" i="10"/>
  <c r="K39" i="10"/>
  <c r="AC48" i="10" s="1"/>
  <c r="J39" i="10"/>
  <c r="E39" i="10"/>
  <c r="AC47" i="10" s="1"/>
  <c r="D39" i="10"/>
  <c r="M20" i="10"/>
  <c r="M6" i="7" s="1"/>
  <c r="J20" i="10"/>
  <c r="J6" i="7" s="1"/>
  <c r="G20" i="10"/>
  <c r="G6" i="7" s="1"/>
  <c r="D20" i="10"/>
  <c r="D6" i="7" s="1"/>
  <c r="K28" i="10"/>
  <c r="G38" i="10"/>
  <c r="N28" i="10"/>
  <c r="W41" i="10" s="1"/>
  <c r="K13" i="10"/>
  <c r="T39" i="10" s="1"/>
  <c r="E56" i="10"/>
  <c r="D56" i="10"/>
  <c r="H39" i="10"/>
  <c r="AA36" i="10"/>
  <c r="O36" i="10"/>
  <c r="K40" i="10"/>
  <c r="AI48" i="10" s="1"/>
  <c r="H14" i="7"/>
  <c r="E14" i="7"/>
  <c r="K15" i="7"/>
  <c r="F9" i="7"/>
  <c r="L14" i="7"/>
  <c r="Q41" i="10"/>
  <c r="AO49" i="10" s="1"/>
  <c r="F14" i="7"/>
  <c r="E35" i="10"/>
  <c r="F40" i="10"/>
  <c r="J41" i="10"/>
  <c r="J14" i="7"/>
  <c r="AA37" i="10"/>
  <c r="S35" i="10"/>
  <c r="AA38" i="10"/>
  <c r="P35" i="10"/>
  <c r="G41" i="10"/>
  <c r="P38" i="10"/>
  <c r="G37" i="10"/>
  <c r="N37" i="10"/>
  <c r="T48" i="10" s="1"/>
  <c r="G36" i="10"/>
  <c r="O38" i="10"/>
  <c r="S37" i="10"/>
  <c r="S38" i="10"/>
  <c r="M38" i="10"/>
  <c r="I38" i="10"/>
  <c r="H37" i="10"/>
  <c r="T47" i="10" s="1"/>
  <c r="M35" i="10"/>
  <c r="U36" i="10"/>
  <c r="H35" i="10"/>
  <c r="H47" i="10" s="1"/>
  <c r="T37" i="10"/>
  <c r="Z37" i="10"/>
  <c r="T50" i="10" s="1"/>
  <c r="D15" i="2"/>
  <c r="K12" i="10" s="1"/>
  <c r="K25" i="10" s="1"/>
  <c r="K12" i="7" s="1"/>
  <c r="J38" i="10" l="1"/>
  <c r="L36" i="10"/>
  <c r="G10" i="7"/>
  <c r="D10" i="7"/>
  <c r="R38" i="10"/>
  <c r="AD48" i="10"/>
  <c r="N15" i="7"/>
  <c r="L37" i="10"/>
  <c r="F41" i="10"/>
  <c r="AP47" i="10" s="1"/>
  <c r="AB48" i="10"/>
  <c r="AJ47" i="10"/>
  <c r="Z35" i="10"/>
  <c r="N35" i="10"/>
  <c r="G48" i="10" s="1"/>
  <c r="M36" i="10"/>
  <c r="L38" i="10"/>
  <c r="E41" i="10"/>
  <c r="AO47" i="10" s="1"/>
  <c r="AJ48" i="10"/>
  <c r="Q38" i="10"/>
  <c r="W49" i="10" s="1"/>
  <c r="I35" i="10"/>
  <c r="I47" i="10" s="1"/>
  <c r="H50" i="10"/>
  <c r="O39" i="10"/>
  <c r="AG48" i="10" s="1"/>
  <c r="Y36" i="10"/>
  <c r="AD49" i="10"/>
  <c r="AQ48" i="10"/>
  <c r="F11" i="7"/>
  <c r="M15" i="7"/>
  <c r="AH47" i="10"/>
  <c r="T35" i="10"/>
  <c r="H49" i="10" s="1"/>
  <c r="I36" i="10"/>
  <c r="K9" i="7"/>
  <c r="E9" i="7"/>
  <c r="Y35" i="10"/>
  <c r="G50" i="10" s="1"/>
  <c r="AB49" i="10"/>
  <c r="F15" i="7"/>
  <c r="D15" i="7"/>
  <c r="AO50" i="10"/>
  <c r="AP50" i="10"/>
  <c r="AN50" i="10"/>
  <c r="R14" i="7"/>
  <c r="U37" i="10"/>
  <c r="O41" i="10"/>
  <c r="AS48" i="10" s="1"/>
  <c r="U50" i="10"/>
  <c r="F10" i="7"/>
  <c r="L41" i="10"/>
  <c r="AN49" i="10"/>
  <c r="L11" i="7"/>
  <c r="O37" i="10"/>
  <c r="U48" i="10" s="1"/>
  <c r="U39" i="10"/>
  <c r="AG49" i="10" s="1"/>
  <c r="D14" i="7"/>
  <c r="K41" i="10"/>
  <c r="I22" i="10"/>
  <c r="I9" i="7" s="1"/>
  <c r="G11" i="7"/>
  <c r="J10" i="7"/>
  <c r="J15" i="10"/>
  <c r="J24" i="10"/>
  <c r="G49" i="10"/>
  <c r="D22" i="10"/>
  <c r="Y37" i="10"/>
  <c r="M24" i="10"/>
  <c r="S49" i="10"/>
  <c r="I37" i="10"/>
  <c r="U47" i="10" s="1"/>
  <c r="G35" i="10"/>
  <c r="G47" i="10" s="1"/>
  <c r="S36" i="10"/>
  <c r="U38" i="10"/>
  <c r="AD47" i="10"/>
  <c r="T13" i="7"/>
  <c r="L15" i="10"/>
  <c r="U41" i="10" s="1"/>
  <c r="E24" i="10"/>
  <c r="E37" i="10" s="1"/>
  <c r="Q47" i="10" s="1"/>
  <c r="AA35" i="10"/>
  <c r="I50" i="10" s="1"/>
  <c r="O22" i="10"/>
  <c r="H40" i="10"/>
  <c r="AL47" i="10" s="1"/>
  <c r="I40" i="10"/>
  <c r="R35" i="10"/>
  <c r="F49" i="10" s="1"/>
  <c r="I11" i="7"/>
  <c r="K35" i="10"/>
  <c r="E48" i="10" s="1"/>
  <c r="E47" i="10"/>
  <c r="T38" i="10"/>
  <c r="S39" i="10"/>
  <c r="AE49" i="10" s="1"/>
  <c r="T49" i="10"/>
  <c r="T61" i="10" s="1"/>
  <c r="H48" i="10"/>
  <c r="S47" i="10"/>
  <c r="AF49" i="10"/>
  <c r="Q13" i="7"/>
  <c r="S13" i="7"/>
  <c r="P13" i="7"/>
  <c r="U13" i="7"/>
  <c r="X13" i="7"/>
  <c r="Z38" i="10"/>
  <c r="AA50" i="10" s="1"/>
  <c r="K14" i="7"/>
  <c r="Q14" i="7" s="1"/>
  <c r="Q40" i="10"/>
  <c r="AJ49" i="10" s="1"/>
  <c r="J40" i="10"/>
  <c r="AH48" i="10" s="1"/>
  <c r="G9" i="7"/>
  <c r="J35" i="10"/>
  <c r="O9" i="7"/>
  <c r="X35" i="10"/>
  <c r="L10" i="7"/>
  <c r="D12" i="7"/>
  <c r="V12" i="7" s="1"/>
  <c r="D38" i="10"/>
  <c r="F38" i="10"/>
  <c r="F12" i="7"/>
  <c r="J11" i="7"/>
  <c r="AF47" i="10"/>
  <c r="G40" i="10"/>
  <c r="AG47" i="10"/>
  <c r="AC50" i="10"/>
  <c r="AC62" i="10" s="1"/>
  <c r="AD50" i="10"/>
  <c r="AB50" i="10"/>
  <c r="R36" i="10"/>
  <c r="T40" i="10"/>
  <c r="T62" i="10"/>
  <c r="E12" i="10"/>
  <c r="E25" i="10" s="1"/>
  <c r="N10" i="10"/>
  <c r="N23" i="10" s="1"/>
  <c r="W36" i="10" s="1"/>
  <c r="K50" i="10" s="1"/>
  <c r="K10" i="10"/>
  <c r="K23" i="10" s="1"/>
  <c r="H10" i="10"/>
  <c r="H23" i="10" s="1"/>
  <c r="E10" i="10"/>
  <c r="E23" i="10" s="1"/>
  <c r="E10" i="7" s="1"/>
  <c r="H12" i="10"/>
  <c r="H25" i="10" s="1"/>
  <c r="U49" i="10"/>
  <c r="S50" i="10"/>
  <c r="AE48" i="10"/>
  <c r="F35" i="10"/>
  <c r="F47" i="10" s="1"/>
  <c r="G14" i="7"/>
  <c r="V13" i="7"/>
  <c r="X36" i="10"/>
  <c r="O10" i="7"/>
  <c r="O12" i="7"/>
  <c r="X38" i="10"/>
  <c r="X50" i="10" s="1"/>
  <c r="F56" i="10"/>
  <c r="X14" i="7"/>
  <c r="E28" i="8"/>
  <c r="M37" i="10"/>
  <c r="S48" i="10" s="1"/>
  <c r="S61" i="10" s="1"/>
  <c r="U35" i="10"/>
  <c r="H41" i="10"/>
  <c r="AB47" i="10"/>
  <c r="R13" i="7"/>
  <c r="G39" i="10"/>
  <c r="AE47" i="10" s="1"/>
  <c r="D49" i="10"/>
  <c r="J15" i="7"/>
  <c r="W13" i="7"/>
  <c r="D28" i="8"/>
  <c r="H14" i="10"/>
  <c r="U14" i="7"/>
  <c r="Q49" i="10"/>
  <c r="R49" i="10"/>
  <c r="K11" i="7"/>
  <c r="K37" i="10"/>
  <c r="H11" i="7"/>
  <c r="D37" i="10"/>
  <c r="S41" i="10"/>
  <c r="R41" i="10"/>
  <c r="AP49" i="10" s="1"/>
  <c r="L15" i="7"/>
  <c r="K15" i="10"/>
  <c r="T15" i="7"/>
  <c r="Q15" i="7"/>
  <c r="W15" i="7"/>
  <c r="O11" i="7"/>
  <c r="X37" i="10"/>
  <c r="N9" i="7"/>
  <c r="W35" i="10"/>
  <c r="W50" i="10"/>
  <c r="S10" i="7"/>
  <c r="M9" i="7"/>
  <c r="N13" i="10"/>
  <c r="V35" i="10"/>
  <c r="N12" i="7"/>
  <c r="V36" i="10"/>
  <c r="V38" i="10"/>
  <c r="V50" i="10" s="1"/>
  <c r="P10" i="7" l="1"/>
  <c r="V14" i="7"/>
  <c r="Q9" i="7"/>
  <c r="V15" i="7"/>
  <c r="S12" i="7"/>
  <c r="E11" i="7"/>
  <c r="I49" i="10"/>
  <c r="AJ61" i="10"/>
  <c r="AJ62" i="10"/>
  <c r="AN47" i="10"/>
  <c r="AB61" i="10"/>
  <c r="AD61" i="10"/>
  <c r="AC61" i="10"/>
  <c r="P37" i="10"/>
  <c r="P49" i="10" s="1"/>
  <c r="X49" i="10"/>
  <c r="V49" i="10"/>
  <c r="I48" i="10"/>
  <c r="I61" i="10" s="1"/>
  <c r="J50" i="10"/>
  <c r="V10" i="7"/>
  <c r="P47" i="10"/>
  <c r="G62" i="10"/>
  <c r="U61" i="10"/>
  <c r="T14" i="7"/>
  <c r="N10" i="7"/>
  <c r="S15" i="7"/>
  <c r="W14" i="7"/>
  <c r="G61" i="10"/>
  <c r="AK47" i="10"/>
  <c r="I63" i="10"/>
  <c r="Q36" i="10"/>
  <c r="K10" i="7"/>
  <c r="L49" i="10"/>
  <c r="E38" i="10"/>
  <c r="W47" i="10" s="1"/>
  <c r="E12" i="7"/>
  <c r="U62" i="10"/>
  <c r="AO48" i="10"/>
  <c r="AN48" i="10"/>
  <c r="AP48" i="10"/>
  <c r="AP62" i="10" s="1"/>
  <c r="M11" i="7"/>
  <c r="V11" i="7" s="1"/>
  <c r="V37" i="10"/>
  <c r="H12" i="7"/>
  <c r="Q12" i="7" s="1"/>
  <c r="K38" i="10"/>
  <c r="E36" i="10"/>
  <c r="K47" i="10" s="1"/>
  <c r="P14" i="7"/>
  <c r="R47" i="10"/>
  <c r="AM47" i="10"/>
  <c r="D35" i="10"/>
  <c r="D47" i="10" s="1"/>
  <c r="D9" i="7"/>
  <c r="S9" i="7" s="1"/>
  <c r="L35" i="10"/>
  <c r="F48" i="10" s="1"/>
  <c r="S14" i="7"/>
  <c r="AJ63" i="10"/>
  <c r="L50" i="10"/>
  <c r="H10" i="7"/>
  <c r="K36" i="10"/>
  <c r="U12" i="7"/>
  <c r="X12" i="7"/>
  <c r="R12" i="7"/>
  <c r="U10" i="7"/>
  <c r="D48" i="10"/>
  <c r="P12" i="7"/>
  <c r="U9" i="7"/>
  <c r="W9" i="7"/>
  <c r="T9" i="7"/>
  <c r="R9" i="7"/>
  <c r="X9" i="7"/>
  <c r="AB62" i="10"/>
  <c r="AB63" i="10"/>
  <c r="H36" i="10"/>
  <c r="H38" i="10"/>
  <c r="R10" i="7"/>
  <c r="AH49" i="10"/>
  <c r="AI49" i="10"/>
  <c r="Z50" i="10"/>
  <c r="Y50" i="10"/>
  <c r="AD63" i="10"/>
  <c r="U63" i="10"/>
  <c r="AQ47" i="10"/>
  <c r="AR47" i="10"/>
  <c r="N36" i="10"/>
  <c r="AL49" i="10"/>
  <c r="AK49" i="10"/>
  <c r="AM49" i="10"/>
  <c r="S62" i="10"/>
  <c r="S63" i="10"/>
  <c r="X10" i="7"/>
  <c r="I62" i="10"/>
  <c r="AD62" i="10"/>
  <c r="N40" i="10"/>
  <c r="T36" i="10"/>
  <c r="P15" i="7"/>
  <c r="AS47" i="10"/>
  <c r="G63" i="10"/>
  <c r="H61" i="10"/>
  <c r="H62" i="10"/>
  <c r="H63" i="10"/>
  <c r="N38" i="10"/>
  <c r="Z36" i="10"/>
  <c r="N50" i="10" s="1"/>
  <c r="AC63" i="10"/>
  <c r="T63" i="10"/>
  <c r="Y49" i="10"/>
  <c r="Z49" i="10"/>
  <c r="AA49" i="10"/>
  <c r="P48" i="10"/>
  <c r="Q48" i="10"/>
  <c r="R48" i="10"/>
  <c r="X15" i="7"/>
  <c r="R15" i="7"/>
  <c r="U15" i="7"/>
  <c r="T41" i="10"/>
  <c r="R11" i="7"/>
  <c r="X11" i="7"/>
  <c r="U11" i="7"/>
  <c r="V9" i="7"/>
  <c r="W37" i="10"/>
  <c r="N11" i="7"/>
  <c r="Z39" i="10"/>
  <c r="F50" i="10"/>
  <c r="E50" i="10"/>
  <c r="O15" i="10"/>
  <c r="M15" i="10"/>
  <c r="N15" i="10"/>
  <c r="W12" i="7" l="1"/>
  <c r="P11" i="7"/>
  <c r="T12" i="7"/>
  <c r="F62" i="10"/>
  <c r="T10" i="7"/>
  <c r="S11" i="7"/>
  <c r="P9" i="7"/>
  <c r="Q10" i="7"/>
  <c r="V47" i="10"/>
  <c r="W10" i="7"/>
  <c r="X47" i="10"/>
  <c r="AO62" i="10"/>
  <c r="AO61" i="10"/>
  <c r="AO63" i="10"/>
  <c r="L47" i="10"/>
  <c r="J47" i="10"/>
  <c r="J61" i="10" s="1"/>
  <c r="K48" i="10"/>
  <c r="L48" i="10"/>
  <c r="J48" i="10"/>
  <c r="W48" i="10"/>
  <c r="W63" i="10" s="1"/>
  <c r="X48" i="10"/>
  <c r="X62" i="10" s="1"/>
  <c r="V48" i="10"/>
  <c r="AP61" i="10"/>
  <c r="AP63" i="10"/>
  <c r="J49" i="10"/>
  <c r="K49" i="10"/>
  <c r="AN62" i="10"/>
  <c r="AN61" i="10"/>
  <c r="AN63" i="10"/>
  <c r="Y47" i="10"/>
  <c r="Z47" i="10"/>
  <c r="AA47" i="10"/>
  <c r="AL48" i="10"/>
  <c r="AM48" i="10"/>
  <c r="AK48" i="10"/>
  <c r="N48" i="10"/>
  <c r="O48" i="10"/>
  <c r="M48" i="10"/>
  <c r="AI62" i="10"/>
  <c r="AI61" i="10"/>
  <c r="AI63" i="10"/>
  <c r="Y48" i="10"/>
  <c r="Z48" i="10"/>
  <c r="Z63" i="10" s="1"/>
  <c r="AA48" i="10"/>
  <c r="AH62" i="10"/>
  <c r="AH61" i="10"/>
  <c r="AH63" i="10"/>
  <c r="N47" i="10"/>
  <c r="M47" i="10"/>
  <c r="O47" i="10"/>
  <c r="M50" i="10"/>
  <c r="O50" i="10"/>
  <c r="M49" i="10"/>
  <c r="N49" i="10"/>
  <c r="O49" i="10"/>
  <c r="AR49" i="10"/>
  <c r="AQ49" i="10"/>
  <c r="AS49" i="10"/>
  <c r="F61" i="10"/>
  <c r="F63" i="10"/>
  <c r="AA41" i="10"/>
  <c r="R50" i="10"/>
  <c r="Q50" i="10"/>
  <c r="P50" i="10"/>
  <c r="D50" i="10"/>
  <c r="E62" i="10"/>
  <c r="E61" i="10"/>
  <c r="E63" i="10"/>
  <c r="Z41" i="10"/>
  <c r="Y41" i="10"/>
  <c r="AF50" i="10"/>
  <c r="AE50" i="10"/>
  <c r="AG50" i="10"/>
  <c r="Q11" i="7"/>
  <c r="W11" i="7"/>
  <c r="T11" i="7"/>
  <c r="K61" i="10" l="1"/>
  <c r="L61" i="10"/>
  <c r="X61" i="10"/>
  <c r="J63" i="10"/>
  <c r="W62" i="10"/>
  <c r="K63" i="10"/>
  <c r="J62" i="10"/>
  <c r="K62" i="10"/>
  <c r="W61" i="10"/>
  <c r="V62" i="10"/>
  <c r="V61" i="10"/>
  <c r="V63" i="10"/>
  <c r="X63" i="10"/>
  <c r="L62" i="10"/>
  <c r="L63" i="10"/>
  <c r="O63" i="10"/>
  <c r="O62" i="10"/>
  <c r="O61" i="10"/>
  <c r="AL61" i="10"/>
  <c r="AL63" i="10"/>
  <c r="AL62" i="10"/>
  <c r="N63" i="10"/>
  <c r="AA63" i="10"/>
  <c r="AA62" i="10"/>
  <c r="AA61" i="10"/>
  <c r="M63" i="10"/>
  <c r="M62" i="10"/>
  <c r="M61" i="10"/>
  <c r="N62" i="10"/>
  <c r="N61" i="10"/>
  <c r="AK61" i="10"/>
  <c r="AK62" i="10"/>
  <c r="AK63" i="10"/>
  <c r="Z61" i="10"/>
  <c r="Z62" i="10"/>
  <c r="AM63" i="10"/>
  <c r="AM61" i="10"/>
  <c r="AM62" i="10"/>
  <c r="Y61" i="10"/>
  <c r="Y62" i="10"/>
  <c r="Y63" i="10"/>
  <c r="Q61" i="10"/>
  <c r="Q62" i="10"/>
  <c r="Q63" i="10"/>
  <c r="R63" i="10"/>
  <c r="R61" i="10"/>
  <c r="R62" i="10"/>
  <c r="AR50" i="10"/>
  <c r="AQ50" i="10"/>
  <c r="AS50" i="10"/>
  <c r="AG61" i="10"/>
  <c r="AG62" i="10"/>
  <c r="AG63" i="10"/>
  <c r="AE62" i="10"/>
  <c r="AE61" i="10"/>
  <c r="AE63" i="10"/>
  <c r="D61" i="10"/>
  <c r="D63" i="10"/>
  <c r="D62" i="10"/>
  <c r="AF63" i="10"/>
  <c r="AF61" i="10"/>
  <c r="AF62" i="10"/>
  <c r="P61" i="10"/>
  <c r="P63" i="10"/>
  <c r="P62" i="10"/>
  <c r="AQ61" i="10" l="1"/>
  <c r="AQ63" i="10"/>
  <c r="AQ62" i="10"/>
  <c r="AR63" i="10"/>
  <c r="AR62" i="10"/>
  <c r="AR61" i="10"/>
  <c r="AS61" i="10"/>
  <c r="AS63" i="10"/>
  <c r="AS62" i="10"/>
</calcChain>
</file>

<file path=xl/sharedStrings.xml><?xml version="1.0" encoding="utf-8"?>
<sst xmlns="http://schemas.openxmlformats.org/spreadsheetml/2006/main" count="496" uniqueCount="195">
  <si>
    <t>24 hours free of symptoms and no tests</t>
  </si>
  <si>
    <t>14 days after symptom identification, with no tests performed</t>
  </si>
  <si>
    <t>Inputs</t>
  </si>
  <si>
    <t>Epidemiological inputs</t>
  </si>
  <si>
    <t>Assuming uniform distribution for shedding duration</t>
  </si>
  <si>
    <t>Setting Size</t>
  </si>
  <si>
    <t>Exclusion policy</t>
  </si>
  <si>
    <t xml:space="preserve">Assumptions </t>
  </si>
  <si>
    <t>Data</t>
  </si>
  <si>
    <t>Source</t>
  </si>
  <si>
    <t xml:space="preserve">Notes </t>
  </si>
  <si>
    <t>Scenario</t>
  </si>
  <si>
    <t>Shedding duration (days)</t>
  </si>
  <si>
    <t>Symptom duration (days)</t>
  </si>
  <si>
    <t>Child gets to doctor and starts appropriate antibiotics on day 2 of illness.</t>
  </si>
  <si>
    <t>Child gets to doctor on day 2 of illness, gets a stool culture, and appropriate treatment starts after culture results are available at day 4 of illness.</t>
  </si>
  <si>
    <t>Child gets to doctor and starts inappropriate antibiotics on day 2- 4 of illness</t>
  </si>
  <si>
    <t>14 - 38</t>
  </si>
  <si>
    <t>5 - 14</t>
  </si>
  <si>
    <t>Child is not treated</t>
  </si>
  <si>
    <t>7 - 14</t>
  </si>
  <si>
    <t>4 - 7</t>
  </si>
  <si>
    <t>Shedding and Symptom Duration Scenarios</t>
  </si>
  <si>
    <t xml:space="preserve">Treatment-overall information </t>
  </si>
  <si>
    <t>89% treated (N=219)</t>
  </si>
  <si>
    <t>Turabelidze, 2010</t>
  </si>
  <si>
    <t>88.1% (N=862)</t>
  </si>
  <si>
    <t xml:space="preserve">Indiana outbreak 2014 (unpublished data) </t>
  </si>
  <si>
    <t>40% (N=3533)</t>
  </si>
  <si>
    <t>Lindsay, 2013</t>
  </si>
  <si>
    <t xml:space="preserve">Duration of shedding-incorrect treatment </t>
  </si>
  <si>
    <t>&gt;=15 days</t>
  </si>
  <si>
    <t>one adult with MDR shigellosis in MT, 2014 (CDC records)</t>
  </si>
  <si>
    <t>median 14 days (13 - 38, N=3)</t>
  </si>
  <si>
    <t>Pediatric DSA cases (CDC records)</t>
  </si>
  <si>
    <r>
      <t xml:space="preserve">Duration PCR positive after </t>
    </r>
    <r>
      <rPr>
        <i/>
        <sz val="11"/>
        <color theme="1"/>
        <rFont val="Calibri"/>
        <family val="2"/>
        <scheme val="minor"/>
      </rPr>
      <t>Shigella</t>
    </r>
    <r>
      <rPr>
        <sz val="11"/>
        <color theme="1"/>
        <rFont val="Calibri"/>
        <family val="2"/>
        <scheme val="minor"/>
      </rPr>
      <t xml:space="preserve"> dead </t>
    </r>
  </si>
  <si>
    <t>?</t>
  </si>
  <si>
    <t xml:space="preserve">Scenarios </t>
  </si>
  <si>
    <t xml:space="preserve"># of cases per outbreak - 2-332 (median=9); Affected age groups (n children / outbreak in that age group); &lt;1 IQR:0-3 (median=0) ; 1-4 IQR:0-91 (median=3);                      5-9 IQR:0-119; (median=1);                   Duration of outbreak: 1-60 days (Median=6 days)     </t>
  </si>
  <si>
    <t xml:space="preserve">Spectrum of childcare-associated outbreaks reported to NORS  (unpublished data). 196 childcare outbreaks reported from 2009 - 2013.  However, these seem very different from those we get calls about (surely we hear about the more challenging outbreaks, but I am not sure why the more challenging outbreaks are not represented in the NORS database). </t>
  </si>
  <si>
    <t xml:space="preserve">N=862;  Symptom duration 1-9 days (Median=6);  Age groups &lt;1 (n=24); 1-9 (N=589); 10-19 (N=78); 20-49 (N=136); 50+ (N=35). Duration of outbreak 30 weeks (210 days) </t>
  </si>
  <si>
    <t>A</t>
  </si>
  <si>
    <t>B</t>
  </si>
  <si>
    <t>C</t>
  </si>
  <si>
    <t>D</t>
  </si>
  <si>
    <t>Test's sensitivity - PCR</t>
  </si>
  <si>
    <t>Number of days child spends at home</t>
  </si>
  <si>
    <t>Graph</t>
  </si>
  <si>
    <t>Duration of antimicrobial treatment</t>
  </si>
  <si>
    <t>Wait parameters</t>
  </si>
  <si>
    <r>
      <t xml:space="preserve">2 consecutive laboratory analyses of stool samples </t>
    </r>
    <r>
      <rPr>
        <sz val="8"/>
        <rFont val="Calibri Light"/>
        <family val="2"/>
        <scheme val="major"/>
      </rPr>
      <t> </t>
    </r>
    <r>
      <rPr>
        <sz val="11"/>
        <rFont val="Calibri Light"/>
        <family val="2"/>
        <scheme val="major"/>
      </rPr>
      <t>yield negative results - PCR</t>
    </r>
  </si>
  <si>
    <t>1 laboratory analysis of stool samples is negative - Culture</t>
  </si>
  <si>
    <t>1 laboratory analysis of stool samples is negative - PCR</t>
  </si>
  <si>
    <t>2 consecutive laboratory analyses of stool samples  yield negative results - PCR</t>
  </si>
  <si>
    <t>2 consecutive laboratory analyses of stool samples  yield negative results - Culture</t>
  </si>
  <si>
    <t xml:space="preserve">Among 194 treated shigellosis patients, the median time to first convalescent culture after stopping antibiotics was 4 days (range, 0 – 45 days).  Most of the time, kids will be treated with antibiotics for 3 – 5 days (probably more commonly 5 days).   If there is a delay of 1 – 5 days between onset and starting antibiotics, this would yield something like ~10 days (range 4 – 54) between onset and the first convalescent culture, but there will also be a lag for reporting to the family (maybe another 1 – 4 days, if results arrive at the health department on a Friday and are reported to the family on a Monday).  </t>
  </si>
  <si>
    <r>
      <t>I have unpublished data about time to the second culture from this same outbreak, and the median time between 1</t>
    </r>
    <r>
      <rPr>
        <vertAlign val="superscript"/>
        <sz val="11"/>
        <color rgb="FF1F497D"/>
        <rFont val="Calibri"/>
        <family val="2"/>
        <scheme val="minor"/>
      </rPr>
      <t>st</t>
    </r>
    <r>
      <rPr>
        <sz val="11"/>
        <color rgb="FF1F497D"/>
        <rFont val="Calibri"/>
        <family val="2"/>
        <scheme val="minor"/>
      </rPr>
      <t xml:space="preserve"> and 2</t>
    </r>
    <r>
      <rPr>
        <vertAlign val="superscript"/>
        <sz val="11"/>
        <color rgb="FF1F497D"/>
        <rFont val="Calibri"/>
        <family val="2"/>
        <scheme val="minor"/>
      </rPr>
      <t>nd</t>
    </r>
    <r>
      <rPr>
        <sz val="11"/>
        <color rgb="FF1F497D"/>
        <rFont val="Calibri"/>
        <family val="2"/>
        <scheme val="minor"/>
      </rPr>
      <t xml:space="preserve"> convalescent culture for 152 cases was 2 days (range, 1 – 24).  Again, we would probably need to build in some lag time for reporting to the family.</t>
    </r>
  </si>
  <si>
    <t>Mail regarding days to obtain test results, from Anna Bowen, Date : March 1st 2016</t>
  </si>
  <si>
    <t>Contact: Anna Bowen (NCEZID/ DFWED) and Martin Meltzer (NCEZID/DPEI/HEMU)</t>
  </si>
  <si>
    <t>Duration of shedding for shigella (days)</t>
  </si>
  <si>
    <t>Duration of symptoms for shigella (days)</t>
  </si>
  <si>
    <t>Patient Type</t>
  </si>
  <si>
    <t>Notes:</t>
  </si>
  <si>
    <t>PCR-positive assumption: we are assuming a 1:1 correlation between PCR positive and patients being infectious</t>
  </si>
  <si>
    <t>Sources (2)</t>
  </si>
  <si>
    <t>Midpoint</t>
  </si>
  <si>
    <t>Lower Bound</t>
  </si>
  <si>
    <t>Upper Bound</t>
  </si>
  <si>
    <t>Results will be calculated per attack rate, and setting size</t>
  </si>
  <si>
    <t>Characteristics of the outbreak</t>
  </si>
  <si>
    <t>Values</t>
  </si>
  <si>
    <t>Low</t>
  </si>
  <si>
    <t>% of individuals infectious after policy</t>
  </si>
  <si>
    <t>High</t>
  </si>
  <si>
    <t>Value</t>
  </si>
  <si>
    <t>-</t>
  </si>
  <si>
    <t>A - Immediate Treatment</t>
  </si>
  <si>
    <t xml:space="preserve"> B - Treatment after Diagnosis</t>
  </si>
  <si>
    <t>C - Wrong Treatment</t>
  </si>
  <si>
    <t>D - No Treatment</t>
  </si>
  <si>
    <t>Estimated costs per outbreak</t>
  </si>
  <si>
    <t>Total days lost in outbreak</t>
  </si>
  <si>
    <t>* Assumption: for exclusion policies that do not include "no treatment" patient type, we divided the distribution of "no treatment" patients equally among other types of patients</t>
  </si>
  <si>
    <t>Results: aggregate estimates by type of policy</t>
  </si>
  <si>
    <t>Attack Rate</t>
  </si>
  <si>
    <t>Results 1</t>
  </si>
  <si>
    <t>Results 2</t>
  </si>
  <si>
    <t>Test's sensitivity - Culture</t>
  </si>
  <si>
    <t>Exclusion policies to be evaluated</t>
  </si>
  <si>
    <t>24 hours free of symptoms and no tests.</t>
  </si>
  <si>
    <t xml:space="preserve"> 2 consecutive laboratory analyses of stool samples yield negative results;</t>
  </si>
  <si>
    <t xml:space="preserve"> 1 laboratory analysis of stool samples is negative  </t>
  </si>
  <si>
    <t>2 tests</t>
  </si>
  <si>
    <t>1 test</t>
  </si>
  <si>
    <t>24h symptom free</t>
  </si>
  <si>
    <t>Parameters required to evaluate the impact of different exclusion policies</t>
  </si>
  <si>
    <t>Return to school after</t>
  </si>
  <si>
    <t>Calculations</t>
  </si>
  <si>
    <t>Calculations 1</t>
  </si>
  <si>
    <t>Calculations 2</t>
  </si>
  <si>
    <t>Details of the calculations for the results obtained</t>
  </si>
  <si>
    <t>Treatment types to be considered</t>
  </si>
  <si>
    <t>Immediate Treatment</t>
  </si>
  <si>
    <t>Description</t>
  </si>
  <si>
    <t>Treatment after Diagnosis</t>
  </si>
  <si>
    <t>Wrong Treatment</t>
  </si>
  <si>
    <t>No Treatment</t>
  </si>
  <si>
    <t>Child gets to doctor and starts appropriate antibiotics on day 2 of illness</t>
  </si>
  <si>
    <t>Child gets to doctor on day 2 of illness, gets a stool culture, and appropriate treatment starts after culture results are available at day 4 of illness</t>
  </si>
  <si>
    <t>Parameters regarding different patient types</t>
  </si>
  <si>
    <t>Outbreaks to be considered</t>
  </si>
  <si>
    <t>Type of Treatment</t>
  </si>
  <si>
    <t>Outbreaks will be characterized by setting size, and attack rate, as defined below.</t>
  </si>
  <si>
    <t>Option 1 (%)</t>
  </si>
  <si>
    <t>Option 2 (%)</t>
  </si>
  <si>
    <t>Option 3 (%)</t>
  </si>
  <si>
    <t>Treatment After Diagnosis</t>
  </si>
  <si>
    <t>Option - combination</t>
  </si>
  <si>
    <t>Assuming Patient Mix as in Option 1</t>
  </si>
  <si>
    <t>Worksheets</t>
  </si>
  <si>
    <t>Inputs - Policies</t>
  </si>
  <si>
    <t>Inputs - Treatment</t>
  </si>
  <si>
    <t>Inputs - Outbreak</t>
  </si>
  <si>
    <t>Insert parameters necessary to evaluate different policies, for patients undergoing different treatments.</t>
  </si>
  <si>
    <t>What the tool does</t>
  </si>
  <si>
    <t>The different policies to be evaluated are:</t>
  </si>
  <si>
    <t>The different treatments patients may undergo are:</t>
  </si>
  <si>
    <t>The user needs to specify the parameters in the Inputs worksheet, and consult the results in the Results worksheet.</t>
  </si>
  <si>
    <t>Produced by: HEMU/DPEI and WDPB/DFWED, 2016</t>
  </si>
  <si>
    <t>Aggregate - Option 1</t>
  </si>
  <si>
    <t>Aggregate - Option 2</t>
  </si>
  <si>
    <t>Aggregate - Option 3</t>
  </si>
  <si>
    <t>Assuming Patient Mix as in Option 2</t>
  </si>
  <si>
    <t>Assuming Patient Mix as in Option 3</t>
  </si>
  <si>
    <t>Different points show the results of different policies, for different treatment mixes.</t>
  </si>
  <si>
    <t>Suggested parameter values</t>
  </si>
  <si>
    <t>Lower</t>
  </si>
  <si>
    <t>Upper</t>
  </si>
  <si>
    <t>Percentage of infectious patients returning to school, per patient mix</t>
  </si>
  <si>
    <t>Total (needs to equal 100%)</t>
  </si>
  <si>
    <t>Time from doing test to receiving results - PCR</t>
  </si>
  <si>
    <t>Time from doing test to receiving results - Culture</t>
  </si>
  <si>
    <t>14 days after onset</t>
  </si>
  <si>
    <t>24 hr symptom free</t>
  </si>
  <si>
    <t>7 days following beginning treatment</t>
  </si>
  <si>
    <t>7 days after beginning of antimicrobial treatment</t>
  </si>
  <si>
    <t>Child gets to doctor on day 2 of illness, gets a stool culture/PCR tests, and appropriate treatment starts after culture results are available at day 4 of illness/ PCR results are available at day 3</t>
  </si>
  <si>
    <t>One test: PCR</t>
  </si>
  <si>
    <t>One test: culture</t>
  </si>
  <si>
    <t>7 days after beginning Tx</t>
  </si>
  <si>
    <t>Two tests: PCR</t>
  </si>
  <si>
    <t>Two tests: culture</t>
  </si>
  <si>
    <t>Two consecutive tests: PCR</t>
  </si>
  <si>
    <t>Two consec. Tests: culture</t>
  </si>
  <si>
    <t xml:space="preserve">One test: culture </t>
  </si>
  <si>
    <t xml:space="preserve">7 days after beginning Tx </t>
  </si>
  <si>
    <t>Test's specificity (Culture or PCR)</t>
  </si>
  <si>
    <t>14 days after symptom onset with no tests performed,</t>
  </si>
  <si>
    <t>Results 3</t>
  </si>
  <si>
    <t>7 days following beginning of antimicrobial treatment</t>
  </si>
  <si>
    <t>Child gets to doctor and starts inappropriate antibiotics on day 1 to 4 of illness</t>
  </si>
  <si>
    <t>How the tool evaluates shigellosis exclusion policies</t>
  </si>
  <si>
    <t>The tool calculates the number of chilcare-days lost (including weekends and holidays), and the likelihood a child or group of children will return to school infectious.</t>
  </si>
  <si>
    <t>Assumptions</t>
  </si>
  <si>
    <t>To calculate likelihood the child will return to school infectious:</t>
  </si>
  <si>
    <t>To calculate the number of childcare-days lost:</t>
  </si>
  <si>
    <t>Index</t>
  </si>
  <si>
    <t>&gt; For test based policies,  the tool uses the probability of a false negative.</t>
  </si>
  <si>
    <t>&gt; For policies based on a specific time interval, it is assumed that the percent of children still infectious decreases linearly with the number of days, and reaches 0 at the end of the shedding period.</t>
  </si>
  <si>
    <t>&gt; For test based policies, the tool uses information on the time it takes to receive test results, shedding duration, and treatment duration.</t>
  </si>
  <si>
    <t>&gt; For policies based on a specific time interval, the tool uses information on the time interval, symptom duration when applicable, and treatment duration when applicable.</t>
  </si>
  <si>
    <t>The results are shown per patient mix, meaning, per a group of children in which different numbers of children take different treatments (as specified in the Inputs-Treatment worksheet, cells B22-E28).</t>
  </si>
  <si>
    <t>The results are shown per patient treatment meaning, for children assumed to receive treatments A-D.</t>
  </si>
  <si>
    <t>Percentage of infectious patients returning to school, per patient treatment A-D</t>
  </si>
  <si>
    <t>Percent of patients remaining infectious 7 days after beginning of antimicrobial treatment</t>
  </si>
  <si>
    <t>The purpose of the tool is to assess alternative assess alternative exclusion policies to stop a shigella outbreak in childcare settings. The user can change the main parameters in the model (Table 2) to adapt them to the outbreak they are seeing or to the local conditions they need to assess</t>
  </si>
  <si>
    <t>Results corresponds to Figure 2 in the main manuscript.</t>
  </si>
  <si>
    <t>These results are shown in Appendix C in the manuscript.</t>
  </si>
  <si>
    <t>7d after start of antimicrobial treatment</t>
  </si>
  <si>
    <t>14d after onset</t>
  </si>
  <si>
    <t>Distribution of different types of treatments that patients with shigellosis receive</t>
  </si>
  <si>
    <t>Setting size corresponds to the number of children attending the facility; the number of childcare-days lost will be calculated for this population.</t>
  </si>
  <si>
    <t>Results 2 - Evaluation of alternative exclusion policies for children with shigellosis</t>
  </si>
  <si>
    <t>Results 1 - Evaluation of alternative exclusion policies for children with shigellosis</t>
  </si>
  <si>
    <t>Results 3: Evaluation of alternative exclusion policies for children with shigellosis</t>
  </si>
  <si>
    <t>This distribution will be used to calculate results in worksheets Results 2 and Results 3.</t>
  </si>
  <si>
    <t>Treatment type: Treatments A-D</t>
  </si>
  <si>
    <t>Treatment mix: assumed mix of Treatments A-D in the population, defined in Worksheet Inputs-Treatment</t>
  </si>
  <si>
    <t>Check Results for 1) percent of infectious patients returning to school for different  policies, and different treatment types; 2)percent of infectious patients returning to school for different  policies, for a given treatment mix; 3) childcare days lost for assumed treatment mix.</t>
  </si>
  <si>
    <t>The picture below shows, for each policy, the percent of children returning to school while infectious (vertical axis), and the number of childcare-days lost per child (including weekends and holidays, horizontal axis).</t>
  </si>
  <si>
    <t>The picture below shows, for each policy, the percent of children returning to school while infectious (vertical axis), and the number of aggregate childcare-days losts (including weekends and holidays, horizontal axis).</t>
  </si>
  <si>
    <t>The picture below shows, for each policy, aggregated childcare days lost in outbreak (childcare-days lost for a group of individuals), for outbreak and childcare characteristics specified in the Inputs-Outbreak worksheet.</t>
  </si>
  <si>
    <t xml:space="preserve">Different points show the results of different policies, for different treatment mixes. </t>
  </si>
  <si>
    <t>Last Update: 1/21/2019</t>
  </si>
  <si>
    <t>A tool for the evaluation of shigellosis exclusion policies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</si>
</sst>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00%"/>
    <numFmt numFmtId="166" formatCode="0.0"/>
  </numFmts>
  <fonts count="37"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Times New Roman"/>
      <family val="1"/>
    </font>
    <font>
      <sz val="11"/>
      <name val="Calibri Light"/>
      <family val="2"/>
      <scheme val="major"/>
    </font>
    <font>
      <sz val="8"/>
      <name val="Calibri Light"/>
      <family val="2"/>
      <scheme val="major"/>
    </font>
    <font>
      <i/>
      <sz val="11"/>
      <color theme="1"/>
      <name val="Calibri"/>
      <family val="2"/>
      <scheme val="minor"/>
    </font>
    <font>
      <i/>
      <sz val="11"/>
      <name val="Calibri Light"/>
      <family val="2"/>
      <scheme val="major"/>
    </font>
    <font>
      <sz val="11"/>
      <color theme="0"/>
      <name val="Calibri"/>
      <family val="2"/>
      <scheme val="minor"/>
    </font>
    <font>
      <b/>
      <sz val="12"/>
      <color theme="1"/>
      <name val="Times New Roman"/>
      <family val="1"/>
    </font>
    <font>
      <sz val="10"/>
      <color theme="1"/>
      <name val="Calibri"/>
      <family val="2"/>
      <scheme val="minor"/>
    </font>
    <font>
      <sz val="9"/>
      <color theme="1"/>
      <name val="Calibri"/>
      <family val="2"/>
      <scheme val="minor"/>
    </font>
    <font>
      <sz val="11"/>
      <color rgb="FF1F497D"/>
      <name val="Calibri"/>
      <family val="2"/>
      <scheme val="minor"/>
    </font>
    <font>
      <vertAlign val="superscript"/>
      <sz val="11"/>
      <color rgb="FF1F497D"/>
      <name val="Calibri"/>
      <family val="2"/>
      <scheme val="minor"/>
    </font>
    <font>
      <i/>
      <sz val="11"/>
      <color theme="0"/>
      <name val="Calibri"/>
      <family val="2"/>
      <scheme val="minor"/>
    </font>
    <font>
      <b/>
      <sz val="20"/>
      <color theme="0"/>
      <name val="Calibri"/>
      <family val="2"/>
      <scheme val="minor"/>
    </font>
    <font>
      <b/>
      <sz val="16"/>
      <color theme="0"/>
      <name val="Calibri"/>
      <family val="2"/>
      <scheme val="minor"/>
    </font>
    <font>
      <b/>
      <sz val="11"/>
      <color theme="0"/>
      <name val="Calibri"/>
      <family val="2"/>
      <scheme val="minor"/>
    </font>
    <font>
      <b/>
      <sz val="16"/>
      <color theme="4"/>
      <name val="Calibri"/>
      <family val="2"/>
      <scheme val="minor"/>
    </font>
    <font>
      <b/>
      <i/>
      <sz val="11"/>
      <color theme="1"/>
      <name val="Calibri"/>
      <family val="2"/>
      <scheme val="minor"/>
    </font>
    <font>
      <b/>
      <sz val="11"/>
      <name val="Calibri Light"/>
      <family val="2"/>
      <scheme val="major"/>
    </font>
    <font>
      <b/>
      <sz val="11"/>
      <color rgb="FF0070C0"/>
      <name val="Calibri"/>
      <family val="2"/>
      <scheme val="minor"/>
    </font>
    <font>
      <b/>
      <sz val="11"/>
      <color theme="8" tint="-0.499984740745262"/>
      <name val="Calibri"/>
      <family val="2"/>
      <scheme val="minor"/>
    </font>
    <font>
      <sz val="10"/>
      <color theme="1"/>
      <name val="Segoe Print"/>
    </font>
    <font>
      <b/>
      <sz val="11"/>
      <color theme="4" tint="-0.249977111117893"/>
      <name val="Calibri"/>
      <family val="2"/>
      <scheme val="minor"/>
    </font>
    <font>
      <b/>
      <sz val="12"/>
      <color rgb="FF0070C0"/>
      <name val="Segoe Print"/>
    </font>
    <font>
      <b/>
      <i/>
      <sz val="16"/>
      <color theme="0"/>
      <name val="Calibri"/>
      <family val="2"/>
      <scheme val="minor"/>
    </font>
    <font>
      <b/>
      <sz val="11"/>
      <color theme="4"/>
      <name val="Calibri"/>
      <family val="2"/>
      <scheme val="minor"/>
    </font>
    <font>
      <b/>
      <sz val="8"/>
      <color theme="4"/>
      <name val="Calibri"/>
      <family val="2"/>
      <scheme val="minor"/>
    </font>
    <font>
      <b/>
      <sz val="8"/>
      <color theme="4" tint="-0.249977111117893"/>
      <name val="Calibri"/>
      <family val="2"/>
      <scheme val="minor"/>
    </font>
    <font>
      <b/>
      <i/>
      <sz val="11"/>
      <color theme="4" tint="-0.249977111117893"/>
      <name val="Calibri"/>
      <family val="2"/>
      <scheme val="minor"/>
    </font>
    <font>
      <b/>
      <sz val="11"/>
      <name val="Calibri"/>
      <family val="2"/>
      <scheme val="minor"/>
    </font>
    <font>
      <b/>
      <sz val="11"/>
      <color theme="3"/>
      <name val="Calibri"/>
      <family val="2"/>
      <scheme val="minor"/>
    </font>
    <font>
      <sz val="11"/>
      <name val="Calibri"/>
      <family val="2"/>
      <scheme val="minor"/>
    </font>
    <font>
      <b/>
      <sz val="12"/>
      <color theme="4"/>
      <name val="Calibri"/>
      <family val="2"/>
      <scheme val="minor"/>
    </font>
    <font>
      <b/>
      <sz val="11"/>
      <color rgb="FFFF0000"/>
      <name val="Calibri"/>
      <family val="2"/>
      <scheme val="minor"/>
    </font>
    <font>
      <i/>
      <sz val="9"/>
      <color theme="1"/>
      <name val="Calibri"/>
      <family val="2"/>
      <scheme val="minor"/>
    </font>
  </fonts>
  <fills count="16">
    <fill>
      <patternFill patternType="none"/>
    </fill>
    <fill>
      <patternFill patternType="gray125"/>
    </fill>
    <fill>
      <patternFill patternType="solid">
        <fgColor theme="4"/>
        <bgColor indexed="64"/>
      </patternFill>
    </fill>
    <fill>
      <patternFill patternType="solid">
        <fgColor theme="0" tint="-0.249977111117893"/>
        <bgColor indexed="64"/>
      </patternFill>
    </fill>
    <fill>
      <patternFill patternType="solid">
        <fgColor theme="0"/>
        <bgColor indexed="64"/>
      </patternFill>
    </fill>
    <fill>
      <patternFill patternType="solid">
        <fgColor theme="6" tint="-0.249977111117893"/>
        <bgColor indexed="64"/>
      </patternFill>
    </fill>
    <fill>
      <patternFill patternType="solid">
        <fgColor theme="1"/>
        <bgColor indexed="64"/>
      </patternFill>
    </fill>
    <fill>
      <patternFill patternType="solid">
        <fgColor theme="4" tint="0.59999389629810485"/>
        <bgColor indexed="64"/>
      </patternFill>
    </fill>
    <fill>
      <patternFill patternType="solid">
        <fgColor theme="2"/>
        <bgColor indexed="64"/>
      </patternFill>
    </fill>
    <fill>
      <patternFill patternType="solid">
        <fgColor rgb="FFFF0000"/>
        <bgColor indexed="64"/>
      </patternFill>
    </fill>
    <fill>
      <patternFill patternType="solid">
        <fgColor theme="4" tint="0.39997558519241921"/>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5" tint="0.79998168889431442"/>
        <bgColor indexed="64"/>
      </patternFill>
    </fill>
  </fills>
  <borders count="106">
    <border>
      <left/>
      <right/>
      <top/>
      <bottom/>
      <diagonal/>
    </border>
    <border>
      <left style="medium">
        <color theme="4"/>
      </left>
      <right style="medium">
        <color theme="4"/>
      </right>
      <top style="medium">
        <color theme="4"/>
      </top>
      <bottom style="thin">
        <color theme="4"/>
      </bottom>
      <diagonal/>
    </border>
    <border>
      <left style="medium">
        <color theme="4"/>
      </left>
      <right style="medium">
        <color theme="4"/>
      </right>
      <top style="thin">
        <color theme="4"/>
      </top>
      <bottom style="thin">
        <color theme="4"/>
      </bottom>
      <diagonal/>
    </border>
    <border>
      <left style="medium">
        <color theme="4"/>
      </left>
      <right style="medium">
        <color theme="4"/>
      </right>
      <top style="thin">
        <color theme="4"/>
      </top>
      <bottom style="medium">
        <color theme="4"/>
      </bottom>
      <diagonal/>
    </border>
    <border>
      <left style="medium">
        <color theme="4"/>
      </left>
      <right style="medium">
        <color theme="4"/>
      </right>
      <top/>
      <bottom/>
      <diagonal/>
    </border>
    <border>
      <left style="medium">
        <color theme="4"/>
      </left>
      <right style="medium">
        <color theme="4"/>
      </right>
      <top/>
      <bottom style="medium">
        <color theme="4"/>
      </bottom>
      <diagonal/>
    </border>
    <border>
      <left style="medium">
        <color theme="4"/>
      </left>
      <right/>
      <top style="medium">
        <color theme="4"/>
      </top>
      <bottom/>
      <diagonal/>
    </border>
    <border>
      <left/>
      <right style="medium">
        <color theme="4"/>
      </right>
      <top/>
      <bottom/>
      <diagonal/>
    </border>
    <border>
      <left/>
      <right style="medium">
        <color theme="4"/>
      </right>
      <top/>
      <bottom style="medium">
        <color theme="4"/>
      </bottom>
      <diagonal/>
    </border>
    <border>
      <left/>
      <right/>
      <top style="thin">
        <color indexed="64"/>
      </top>
      <bottom style="double">
        <color indexed="64"/>
      </bottom>
      <diagonal/>
    </border>
    <border>
      <left style="medium">
        <color theme="4"/>
      </left>
      <right style="medium">
        <color theme="4"/>
      </right>
      <top style="medium">
        <color theme="4"/>
      </top>
      <bottom style="medium">
        <color theme="4"/>
      </bottom>
      <diagonal/>
    </border>
    <border>
      <left/>
      <right style="medium">
        <color theme="4"/>
      </right>
      <top style="medium">
        <color theme="4"/>
      </top>
      <bottom style="medium">
        <color theme="4"/>
      </bottom>
      <diagonal/>
    </border>
    <border>
      <left/>
      <right/>
      <top style="medium">
        <color theme="4"/>
      </top>
      <bottom style="medium">
        <color theme="4"/>
      </bottom>
      <diagonal/>
    </border>
    <border>
      <left style="medium">
        <color theme="1" tint="0.499984740745262"/>
      </left>
      <right style="medium">
        <color theme="1" tint="0.499984740745262"/>
      </right>
      <top/>
      <bottom style="medium">
        <color theme="1" tint="0.499984740745262"/>
      </bottom>
      <diagonal/>
    </border>
    <border>
      <left style="medium">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medium">
        <color theme="1" tint="0.499984740745262"/>
      </bottom>
      <diagonal/>
    </border>
    <border>
      <left style="medium">
        <color theme="1" tint="0.499984740745262"/>
      </left>
      <right/>
      <top style="medium">
        <color theme="1" tint="0.499984740745262"/>
      </top>
      <bottom style="thin">
        <color theme="1" tint="0.499984740745262"/>
      </bottom>
      <diagonal/>
    </border>
    <border>
      <left style="medium">
        <color theme="1" tint="0.499984740745262"/>
      </left>
      <right/>
      <top style="thin">
        <color theme="1" tint="0.499984740745262"/>
      </top>
      <bottom style="thin">
        <color theme="1" tint="0.499984740745262"/>
      </bottom>
      <diagonal/>
    </border>
    <border>
      <left style="medium">
        <color theme="1" tint="0.499984740745262"/>
      </left>
      <right/>
      <top/>
      <bottom/>
      <diagonal/>
    </border>
    <border>
      <left style="medium">
        <color theme="1" tint="0.499984740745262"/>
      </left>
      <right/>
      <top/>
      <bottom style="medium">
        <color theme="1" tint="0.499984740745262"/>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diagonal/>
    </border>
    <border>
      <left style="medium">
        <color theme="4"/>
      </left>
      <right/>
      <top style="medium">
        <color theme="4"/>
      </top>
      <bottom style="thin">
        <color theme="4"/>
      </bottom>
      <diagonal/>
    </border>
    <border>
      <left style="medium">
        <color theme="4"/>
      </left>
      <right/>
      <top style="thin">
        <color theme="4"/>
      </top>
      <bottom style="thin">
        <color theme="4"/>
      </bottom>
      <diagonal/>
    </border>
    <border>
      <left style="medium">
        <color theme="4"/>
      </left>
      <right/>
      <top style="thin">
        <color theme="4"/>
      </top>
      <bottom style="medium">
        <color theme="4"/>
      </bottom>
      <diagonal/>
    </border>
    <border>
      <left style="medium">
        <color theme="4"/>
      </left>
      <right/>
      <top/>
      <bottom/>
      <diagonal/>
    </border>
    <border>
      <left style="medium">
        <color theme="4"/>
      </left>
      <right/>
      <top/>
      <bottom style="medium">
        <color theme="4"/>
      </bottom>
      <diagonal/>
    </border>
    <border>
      <left style="medium">
        <color theme="4"/>
      </left>
      <right style="medium">
        <color theme="4"/>
      </right>
      <top/>
      <bottom style="thin">
        <color theme="4"/>
      </bottom>
      <diagonal/>
    </border>
    <border>
      <left style="medium">
        <color theme="4"/>
      </left>
      <right/>
      <top/>
      <bottom style="thin">
        <color theme="4"/>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4"/>
      </left>
      <right/>
      <top style="medium">
        <color theme="4"/>
      </top>
      <bottom style="medium">
        <color theme="4"/>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top style="medium">
        <color theme="0" tint="-0.499984740745262"/>
      </top>
      <bottom style="medium">
        <color theme="0" tint="-0.499984740745262"/>
      </bottom>
      <diagonal/>
    </border>
    <border>
      <left style="medium">
        <color theme="0" tint="-0.499984740745262"/>
      </left>
      <right/>
      <top/>
      <bottom/>
      <diagonal/>
    </border>
    <border>
      <left style="medium">
        <color theme="0" tint="-0.499984740745262"/>
      </left>
      <right/>
      <top/>
      <bottom style="medium">
        <color theme="0" tint="-0.499984740745262"/>
      </bottom>
      <diagonal/>
    </border>
    <border>
      <left style="medium">
        <color theme="1" tint="0.499984740745262"/>
      </left>
      <right/>
      <top/>
      <bottom style="medium">
        <color theme="0" tint="-0.499984740745262"/>
      </bottom>
      <diagonal/>
    </border>
    <border>
      <left style="medium">
        <color theme="1" tint="0.499984740745262"/>
      </left>
      <right style="medium">
        <color theme="0" tint="-0.499984740745262"/>
      </right>
      <top/>
      <bottom/>
      <diagonal/>
    </border>
    <border>
      <left style="medium">
        <color theme="1" tint="0.499984740745262"/>
      </left>
      <right style="medium">
        <color theme="0" tint="-0.499984740745262"/>
      </right>
      <top/>
      <bottom style="medium">
        <color theme="0" tint="-0.499984740745262"/>
      </bottom>
      <diagonal/>
    </border>
    <border>
      <left/>
      <right/>
      <top style="thin">
        <color theme="4" tint="-0.499984740745262"/>
      </top>
      <bottom/>
      <diagonal/>
    </border>
    <border>
      <left/>
      <right style="thin">
        <color theme="4" tint="-0.499984740745262"/>
      </right>
      <top style="thin">
        <color theme="4" tint="-0.499984740745262"/>
      </top>
      <bottom/>
      <diagonal/>
    </border>
    <border>
      <left/>
      <right style="thin">
        <color theme="4" tint="-0.499984740745262"/>
      </right>
      <top/>
      <bottom/>
      <diagonal/>
    </border>
    <border>
      <left/>
      <right/>
      <top/>
      <bottom style="thin">
        <color theme="4" tint="-0.499984740745262"/>
      </bottom>
      <diagonal/>
    </border>
    <border>
      <left/>
      <right style="thin">
        <color theme="4" tint="-0.499984740745262"/>
      </right>
      <top/>
      <bottom style="thin">
        <color theme="4" tint="-0.499984740745262"/>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thin">
        <color theme="4" tint="-0.499984740745262"/>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4" tint="-0.249977111117893"/>
      </left>
      <right style="thin">
        <color theme="4" tint="-0.249977111117893"/>
      </right>
      <top/>
      <bottom style="thin">
        <color theme="4" tint="-0.249977111117893"/>
      </bottom>
      <diagonal/>
    </border>
    <border>
      <left style="thin">
        <color theme="4" tint="-0.249977111117893"/>
      </left>
      <right/>
      <top/>
      <bottom style="thin">
        <color theme="4" tint="-0.249977111117893"/>
      </bottom>
      <diagonal/>
    </border>
    <border>
      <left/>
      <right style="thin">
        <color theme="4" tint="-0.249977111117893"/>
      </right>
      <top/>
      <bottom style="thin">
        <color theme="4" tint="-0.249977111117893"/>
      </bottom>
      <diagonal/>
    </border>
    <border>
      <left/>
      <right/>
      <top/>
      <bottom style="thin">
        <color theme="4" tint="-0.249977111117893"/>
      </bottom>
      <diagonal/>
    </border>
    <border>
      <left style="medium">
        <color theme="4"/>
      </left>
      <right style="medium">
        <color theme="4"/>
      </right>
      <top style="medium">
        <color theme="4"/>
      </top>
      <bottom/>
      <diagonal/>
    </border>
    <border>
      <left style="medium">
        <color theme="0" tint="-0.499984740745262"/>
      </left>
      <right style="thin">
        <color theme="0" tint="-0.499984740745262"/>
      </right>
      <top style="medium">
        <color theme="0" tint="-0.499984740745262"/>
      </top>
      <bottom/>
      <diagonal/>
    </border>
    <border>
      <left style="thin">
        <color theme="0" tint="-0.499984740745262"/>
      </left>
      <right style="thin">
        <color theme="0" tint="-0.499984740745262"/>
      </right>
      <top style="medium">
        <color theme="0" tint="-0.499984740745262"/>
      </top>
      <bottom/>
      <diagonal/>
    </border>
    <border>
      <left style="thin">
        <color theme="0" tint="-0.499984740745262"/>
      </left>
      <right style="medium">
        <color theme="0" tint="-0.499984740745262"/>
      </right>
      <top style="medium">
        <color theme="0" tint="-0.499984740745262"/>
      </top>
      <bottom/>
      <diagonal/>
    </border>
    <border>
      <left style="medium">
        <color theme="2" tint="-0.499984740745262"/>
      </left>
      <right/>
      <top style="medium">
        <color theme="2" tint="-0.499984740745262"/>
      </top>
      <bottom/>
      <diagonal/>
    </border>
    <border>
      <left style="medium">
        <color theme="1" tint="0.499984740745262"/>
      </left>
      <right/>
      <top style="medium">
        <color theme="2" tint="-0.499984740745262"/>
      </top>
      <bottom/>
      <diagonal/>
    </border>
    <border>
      <left style="medium">
        <color theme="2" tint="-0.499984740745262"/>
      </left>
      <right/>
      <top/>
      <bottom/>
      <diagonal/>
    </border>
    <border>
      <left style="medium">
        <color theme="1" tint="0.499984740745262"/>
      </left>
      <right style="medium">
        <color theme="2" tint="-0.499984740745262"/>
      </right>
      <top/>
      <bottom/>
      <diagonal/>
    </border>
    <border>
      <left style="medium">
        <color theme="2" tint="-0.499984740745262"/>
      </left>
      <right/>
      <top/>
      <bottom style="medium">
        <color theme="2" tint="-0.499984740745262"/>
      </bottom>
      <diagonal/>
    </border>
    <border>
      <left style="medium">
        <color theme="1" tint="0.499984740745262"/>
      </left>
      <right/>
      <top/>
      <bottom style="medium">
        <color theme="2" tint="-0.499984740745262"/>
      </bottom>
      <diagonal/>
    </border>
    <border>
      <left style="medium">
        <color theme="1" tint="0.499984740745262"/>
      </left>
      <right style="medium">
        <color theme="2" tint="-0.499984740745262"/>
      </right>
      <top/>
      <bottom style="medium">
        <color theme="2" tint="-0.499984740745262"/>
      </bottom>
      <diagonal/>
    </border>
    <border>
      <left style="medium">
        <color theme="2" tint="-0.499984740745262"/>
      </left>
      <right style="thin">
        <color theme="0" tint="-0.499984740745262"/>
      </right>
      <top style="medium">
        <color theme="2" tint="-0.499984740745262"/>
      </top>
      <bottom style="medium">
        <color theme="0" tint="-0.499984740745262"/>
      </bottom>
      <diagonal/>
    </border>
    <border>
      <left style="thin">
        <color theme="0" tint="-0.499984740745262"/>
      </left>
      <right style="thin">
        <color theme="0" tint="-0.499984740745262"/>
      </right>
      <top style="medium">
        <color theme="2" tint="-0.499984740745262"/>
      </top>
      <bottom style="medium">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top style="medium">
        <color theme="0" tint="-0.499984740745262"/>
      </top>
      <bottom style="thin">
        <color theme="1" tint="0.499984740745262"/>
      </bottom>
      <diagonal/>
    </border>
    <border>
      <left style="medium">
        <color theme="0" tint="-0.499984740745262"/>
      </left>
      <right/>
      <top style="thin">
        <color theme="1" tint="0.499984740745262"/>
      </top>
      <bottom style="thin">
        <color theme="1" tint="0.499984740745262"/>
      </bottom>
      <diagonal/>
    </border>
    <border>
      <left style="medium">
        <color theme="0" tint="-0.499984740745262"/>
      </left>
      <right/>
      <top style="thin">
        <color theme="1" tint="0.499984740745262"/>
      </top>
      <bottom style="medium">
        <color theme="0" tint="-0.499984740745262"/>
      </bottom>
      <diagonal/>
    </border>
    <border>
      <left style="thin">
        <color theme="4" tint="-0.499984740745262"/>
      </left>
      <right/>
      <top style="thin">
        <color theme="4" tint="-0.499984740745262"/>
      </top>
      <bottom/>
      <diagonal/>
    </border>
    <border>
      <left style="thin">
        <color theme="4" tint="-0.499984740745262"/>
      </left>
      <right/>
      <top/>
      <bottom/>
      <diagonal/>
    </border>
    <border>
      <left style="thin">
        <color theme="4" tint="-0.499984740745262"/>
      </left>
      <right/>
      <top/>
      <bottom style="thin">
        <color theme="4" tint="-0.499984740745262"/>
      </bottom>
      <diagonal/>
    </border>
    <border>
      <left style="thin">
        <color theme="0" tint="-0.499984740745262"/>
      </left>
      <right/>
      <top style="medium">
        <color theme="0" tint="-0.499984740745262"/>
      </top>
      <bottom/>
      <diagonal/>
    </border>
    <border>
      <left style="medium">
        <color theme="2" tint="-0.499984740745262"/>
      </left>
      <right/>
      <top style="medium">
        <color theme="2" tint="-0.499984740745262"/>
      </top>
      <bottom style="medium">
        <color theme="0" tint="-0.499984740745262"/>
      </bottom>
      <diagonal/>
    </border>
    <border>
      <left/>
      <right/>
      <top style="medium">
        <color theme="2" tint="-0.499984740745262"/>
      </top>
      <bottom style="medium">
        <color theme="0" tint="-0.499984740745262"/>
      </bottom>
      <diagonal/>
    </border>
    <border>
      <left/>
      <right style="medium">
        <color theme="2" tint="-0.499984740745262"/>
      </right>
      <top style="medium">
        <color theme="2" tint="-0.499984740745262"/>
      </top>
      <bottom style="medium">
        <color theme="0" tint="-0.499984740745262"/>
      </bottom>
      <diagonal/>
    </border>
    <border>
      <left style="medium">
        <color theme="2" tint="-0.499984740745262"/>
      </left>
      <right/>
      <top style="medium">
        <color theme="0" tint="-0.499984740745262"/>
      </top>
      <bottom/>
      <diagonal/>
    </border>
    <border>
      <left/>
      <right style="medium">
        <color theme="2" tint="-0.499984740745262"/>
      </right>
      <top style="medium">
        <color theme="0" tint="-0.499984740745262"/>
      </top>
      <bottom/>
      <diagonal/>
    </border>
    <border>
      <left style="medium">
        <color theme="2"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2" tint="-0.499984740745262"/>
      </right>
      <top style="medium">
        <color theme="0" tint="-0.499984740745262"/>
      </top>
      <bottom style="medium">
        <color theme="0" tint="-0.499984740745262"/>
      </bottom>
      <diagonal/>
    </border>
    <border>
      <left style="thin">
        <color theme="0" tint="-0.499984740745262"/>
      </left>
      <right style="medium">
        <color theme="2" tint="-0.499984740745262"/>
      </right>
      <top style="medium">
        <color theme="0" tint="-0.499984740745262"/>
      </top>
      <bottom/>
      <diagonal/>
    </border>
    <border>
      <left/>
      <right/>
      <top/>
      <bottom style="medium">
        <color theme="4"/>
      </bottom>
      <diagonal/>
    </border>
    <border>
      <left style="thin">
        <color theme="0" tint="-0.499984740745262"/>
      </left>
      <right style="medium">
        <color theme="2" tint="-0.499984740745262"/>
      </right>
      <top style="medium">
        <color theme="2" tint="-0.499984740745262"/>
      </top>
      <bottom style="medium">
        <color theme="0" tint="-0.499984740745262"/>
      </bottom>
      <diagonal/>
    </border>
    <border>
      <left style="thin">
        <color rgb="FFFF0000"/>
      </left>
      <right style="thin">
        <color rgb="FFFF0000"/>
      </right>
      <top style="thin">
        <color rgb="FFFF0000"/>
      </top>
      <bottom style="thin">
        <color rgb="FFFF0000"/>
      </bottom>
      <diagonal/>
    </border>
    <border>
      <left style="thin">
        <color theme="4" tint="-0.249977111117893"/>
      </left>
      <right style="thin">
        <color theme="4" tint="-0.249977111117893"/>
      </right>
      <top style="thin">
        <color theme="4" tint="-0.249977111117893"/>
      </top>
      <bottom/>
      <diagonal/>
    </border>
    <border>
      <left style="thin">
        <color rgb="FFFF0000"/>
      </left>
      <right/>
      <top style="thin">
        <color rgb="FFFF0000"/>
      </top>
      <bottom style="thin">
        <color rgb="FFFF0000"/>
      </bottom>
      <diagonal/>
    </border>
    <border>
      <left style="thin">
        <color theme="4" tint="-0.249977111117893"/>
      </left>
      <right/>
      <top style="thin">
        <color theme="4" tint="-0.249977111117893"/>
      </top>
      <bottom style="thin">
        <color theme="4" tint="-0.249977111117893"/>
      </bottom>
      <diagonal/>
    </border>
    <border>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style="medium">
        <color theme="1" tint="0.499984740745262"/>
      </left>
      <right/>
      <top style="medium">
        <color theme="0" tint="-0.499984740745262"/>
      </top>
      <bottom/>
      <diagonal/>
    </border>
    <border>
      <left style="medium">
        <color theme="1" tint="0.499984740745262"/>
      </left>
      <right style="medium">
        <color theme="0" tint="-0.499984740745262"/>
      </right>
      <top style="medium">
        <color theme="0" tint="-0.499984740745262"/>
      </top>
      <bottom/>
      <diagonal/>
    </border>
    <border>
      <left/>
      <right style="thin">
        <color theme="0" tint="-0.499984740745262"/>
      </right>
      <top style="medium">
        <color theme="0" tint="-0.499984740745262"/>
      </top>
      <bottom style="medium">
        <color theme="0" tint="-0.499984740745262"/>
      </bottom>
      <diagonal/>
    </border>
    <border>
      <left/>
      <right/>
      <top/>
      <bottom style="medium">
        <color theme="1" tint="0.499984740745262"/>
      </bottom>
      <diagonal/>
    </border>
    <border>
      <left style="medium">
        <color theme="0" tint="-0.499984740745262"/>
      </left>
      <right style="medium">
        <color theme="0" tint="-0.499984740745262"/>
      </right>
      <top style="medium">
        <color theme="0" tint="-0.499984740745262"/>
      </top>
      <bottom style="thin">
        <color theme="1" tint="0.499984740745262"/>
      </bottom>
      <diagonal/>
    </border>
    <border>
      <left style="medium">
        <color theme="0" tint="-0.499984740745262"/>
      </left>
      <right style="medium">
        <color theme="0" tint="-0.499984740745262"/>
      </right>
      <top style="thin">
        <color theme="1" tint="0.499984740745262"/>
      </top>
      <bottom style="thin">
        <color theme="1" tint="0.499984740745262"/>
      </bottom>
      <diagonal/>
    </border>
    <border>
      <left style="medium">
        <color theme="0" tint="-0.499984740745262"/>
      </left>
      <right style="medium">
        <color theme="0" tint="-0.499984740745262"/>
      </right>
      <top style="thin">
        <color theme="1" tint="0.499984740745262"/>
      </top>
      <bottom style="medium">
        <color theme="0" tint="-0.499984740745262"/>
      </bottom>
      <diagonal/>
    </border>
    <border>
      <left style="medium">
        <color theme="2" tint="-0.499984740745262"/>
      </left>
      <right style="thin">
        <color theme="0" tint="-0.499984740745262"/>
      </right>
      <top style="medium">
        <color theme="0" tint="-0.499984740745262"/>
      </top>
      <bottom/>
      <diagonal/>
    </border>
  </borders>
  <cellStyleXfs count="2">
    <xf numFmtId="0" fontId="0" fillId="0" borderId="0"/>
    <xf numFmtId="9" fontId="1" fillId="0" borderId="0" applyFont="0" applyFill="0" applyBorder="0" applyAlignment="0" applyProtection="0"/>
  </cellStyleXfs>
  <cellXfs count="284">
    <xf numFmtId="0" fontId="0" fillId="0" borderId="0" xfId="0"/>
    <xf numFmtId="0" fontId="0" fillId="2" borderId="0" xfId="0" applyFill="1"/>
    <xf numFmtId="0" fontId="4" fillId="0" borderId="1" xfId="0" applyFont="1" applyBorder="1" applyAlignment="1">
      <alignment horizontal="center" vertical="center" wrapText="1"/>
    </xf>
    <xf numFmtId="10" fontId="0" fillId="0" borderId="4" xfId="1" applyNumberFormat="1" applyFont="1" applyBorder="1" applyAlignment="1">
      <alignment horizontal="center"/>
    </xf>
    <xf numFmtId="9" fontId="0" fillId="0" borderId="4" xfId="0" applyNumberFormat="1" applyBorder="1" applyAlignment="1">
      <alignment horizontal="center"/>
    </xf>
    <xf numFmtId="10" fontId="0" fillId="0" borderId="4" xfId="0" applyNumberFormat="1" applyBorder="1" applyAlignment="1">
      <alignment horizontal="center"/>
    </xf>
    <xf numFmtId="9" fontId="0" fillId="0" borderId="4" xfId="1" applyFont="1" applyBorder="1" applyAlignment="1">
      <alignment horizontal="center"/>
    </xf>
    <xf numFmtId="9" fontId="0" fillId="0" borderId="5" xfId="1" applyFont="1" applyBorder="1" applyAlignment="1">
      <alignment horizontal="center"/>
    </xf>
    <xf numFmtId="1" fontId="0" fillId="0" borderId="7" xfId="0" applyNumberFormat="1" applyBorder="1" applyAlignment="1">
      <alignment horizontal="center"/>
    </xf>
    <xf numFmtId="0" fontId="6" fillId="0" borderId="0" xfId="0" applyFont="1" applyBorder="1"/>
    <xf numFmtId="0" fontId="7" fillId="0" borderId="0"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3" fillId="5" borderId="0" xfId="0" applyFont="1" applyFill="1" applyBorder="1" applyAlignment="1">
      <alignment horizontal="left"/>
    </xf>
    <xf numFmtId="0" fontId="3" fillId="5" borderId="0" xfId="0" applyFont="1" applyFill="1" applyBorder="1"/>
    <xf numFmtId="0" fontId="3" fillId="5" borderId="0" xfId="0" applyFont="1" applyFill="1" applyBorder="1" applyAlignment="1">
      <alignment horizontal="center" vertical="center"/>
    </xf>
    <xf numFmtId="0" fontId="3" fillId="5" borderId="0" xfId="0" applyFont="1" applyFill="1" applyBorder="1" applyAlignment="1">
      <alignment wrapText="1"/>
    </xf>
    <xf numFmtId="49" fontId="0" fillId="0" borderId="0" xfId="0" applyNumberFormat="1" applyAlignment="1">
      <alignment wrapText="1"/>
    </xf>
    <xf numFmtId="49" fontId="0" fillId="0" borderId="0" xfId="0" applyNumberFormat="1" applyAlignment="1">
      <alignment horizontal="right"/>
    </xf>
    <xf numFmtId="0" fontId="0" fillId="6" borderId="0" xfId="0" applyFill="1"/>
    <xf numFmtId="0" fontId="8" fillId="6" borderId="0" xfId="0" applyFont="1" applyFill="1"/>
    <xf numFmtId="0" fontId="9" fillId="3" borderId="9" xfId="0" applyFont="1" applyFill="1" applyBorder="1" applyAlignment="1">
      <alignment horizontal="left" vertical="center" wrapText="1"/>
    </xf>
    <xf numFmtId="0" fontId="9" fillId="3" borderId="9" xfId="0" applyFont="1" applyFill="1" applyBorder="1" applyAlignment="1">
      <alignment vertical="center" wrapText="1"/>
    </xf>
    <xf numFmtId="0" fontId="0" fillId="7" borderId="0" xfId="0" applyFill="1"/>
    <xf numFmtId="0" fontId="0" fillId="0" borderId="0" xfId="0" applyFill="1"/>
    <xf numFmtId="0" fontId="0" fillId="0" borderId="0" xfId="0" applyAlignment="1">
      <alignment wrapText="1"/>
    </xf>
    <xf numFmtId="2" fontId="0" fillId="0" borderId="0" xfId="0" applyNumberFormat="1" applyAlignment="1">
      <alignment horizontal="center" vertical="center"/>
    </xf>
    <xf numFmtId="0" fontId="2" fillId="7" borderId="6" xfId="0" applyFont="1" applyFill="1" applyBorder="1" applyAlignment="1">
      <alignment horizontal="center" vertical="center"/>
    </xf>
    <xf numFmtId="0" fontId="2" fillId="7" borderId="10" xfId="0" applyFont="1" applyFill="1" applyBorder="1" applyAlignment="1">
      <alignment horizontal="center"/>
    </xf>
    <xf numFmtId="0" fontId="2" fillId="7" borderId="0" xfId="0" applyFont="1" applyFill="1"/>
    <xf numFmtId="0" fontId="2" fillId="8" borderId="14" xfId="0" applyFont="1" applyFill="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2" fillId="8" borderId="16" xfId="0" applyFont="1" applyFill="1" applyBorder="1" applyAlignment="1">
      <alignment horizontal="center"/>
    </xf>
    <xf numFmtId="0" fontId="2" fillId="8" borderId="17" xfId="0" applyFont="1" applyFill="1" applyBorder="1" applyAlignment="1">
      <alignment horizontal="center" vertical="center"/>
    </xf>
    <xf numFmtId="1" fontId="0" fillId="0" borderId="18" xfId="0" applyNumberFormat="1" applyBorder="1" applyAlignment="1">
      <alignment horizontal="center"/>
    </xf>
    <xf numFmtId="1" fontId="0" fillId="0" borderId="19" xfId="0" applyNumberFormat="1" applyBorder="1" applyAlignment="1">
      <alignment horizontal="center"/>
    </xf>
    <xf numFmtId="10" fontId="0" fillId="0" borderId="20" xfId="1" applyNumberFormat="1" applyFont="1" applyBorder="1" applyAlignment="1">
      <alignment horizontal="center"/>
    </xf>
    <xf numFmtId="10" fontId="0" fillId="0" borderId="21" xfId="1" applyNumberFormat="1" applyFont="1" applyBorder="1" applyAlignment="1">
      <alignment horizontal="center"/>
    </xf>
    <xf numFmtId="10" fontId="0" fillId="0" borderId="13" xfId="1" applyNumberFormat="1" applyFont="1" applyBorder="1" applyAlignment="1">
      <alignment horizontal="center"/>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9" fontId="0" fillId="0" borderId="18" xfId="1" applyFont="1" applyBorder="1" applyAlignment="1">
      <alignment horizontal="center"/>
    </xf>
    <xf numFmtId="9" fontId="0" fillId="0" borderId="19" xfId="1" applyFont="1" applyBorder="1" applyAlignment="1">
      <alignment horizontal="center"/>
    </xf>
    <xf numFmtId="1" fontId="0" fillId="0" borderId="29" xfId="0" applyNumberFormat="1" applyBorder="1" applyAlignment="1">
      <alignment horizontal="center"/>
    </xf>
    <xf numFmtId="1" fontId="0" fillId="0" borderId="30" xfId="0" applyNumberFormat="1" applyBorder="1" applyAlignment="1">
      <alignment horizontal="center"/>
    </xf>
    <xf numFmtId="1" fontId="0" fillId="0" borderId="31" xfId="0" applyNumberFormat="1" applyBorder="1" applyAlignment="1">
      <alignment horizontal="center"/>
    </xf>
    <xf numFmtId="0" fontId="0" fillId="0" borderId="0" xfId="0" applyBorder="1"/>
    <xf numFmtId="0" fontId="15" fillId="2" borderId="0" xfId="0" applyFont="1" applyFill="1"/>
    <xf numFmtId="0" fontId="16" fillId="5" borderId="0" xfId="0" applyFont="1" applyFill="1" applyBorder="1" applyAlignment="1">
      <alignment horizontal="left"/>
    </xf>
    <xf numFmtId="0" fontId="18" fillId="0" borderId="0" xfId="0" applyFont="1"/>
    <xf numFmtId="0" fontId="19" fillId="0" borderId="0" xfId="0" applyFont="1"/>
    <xf numFmtId="0" fontId="6" fillId="0" borderId="0" xfId="0" applyFont="1" applyAlignment="1">
      <alignment vertical="center"/>
    </xf>
    <xf numFmtId="0" fontId="16" fillId="2" borderId="0" xfId="0" applyFont="1" applyFill="1"/>
    <xf numFmtId="0" fontId="2" fillId="7" borderId="6" xfId="0" applyFont="1" applyFill="1" applyBorder="1" applyAlignment="1">
      <alignment horizontal="center"/>
    </xf>
    <xf numFmtId="10" fontId="0" fillId="0" borderId="18" xfId="1" applyNumberFormat="1" applyFont="1" applyBorder="1" applyAlignment="1">
      <alignment horizontal="center"/>
    </xf>
    <xf numFmtId="0" fontId="2" fillId="0" borderId="26" xfId="0" applyFont="1" applyFill="1" applyBorder="1" applyAlignment="1">
      <alignment horizontal="center" vertical="center"/>
    </xf>
    <xf numFmtId="0" fontId="20" fillId="0" borderId="5" xfId="0" applyFont="1" applyBorder="1" applyAlignment="1">
      <alignment horizontal="center" vertical="center" wrapText="1"/>
    </xf>
    <xf numFmtId="0" fontId="20" fillId="0" borderId="8" xfId="0" applyFont="1" applyBorder="1" applyAlignment="1">
      <alignment horizontal="center" vertical="center" wrapText="1"/>
    </xf>
    <xf numFmtId="0" fontId="2" fillId="0" borderId="39" xfId="0" applyFont="1" applyFill="1" applyBorder="1" applyAlignment="1">
      <alignment horizontal="center" vertical="center"/>
    </xf>
    <xf numFmtId="0" fontId="20" fillId="0" borderId="40" xfId="0" applyFont="1" applyBorder="1" applyAlignment="1">
      <alignment horizontal="center" vertical="center" wrapText="1"/>
    </xf>
    <xf numFmtId="0" fontId="20" fillId="0" borderId="41" xfId="0" applyFont="1" applyBorder="1" applyAlignment="1">
      <alignment horizontal="center" vertical="center" wrapText="1"/>
    </xf>
    <xf numFmtId="0" fontId="4" fillId="0" borderId="0" xfId="0" applyFont="1" applyBorder="1" applyAlignment="1">
      <alignment vertical="center" wrapText="1"/>
    </xf>
    <xf numFmtId="0" fontId="2" fillId="7" borderId="32" xfId="0" applyFont="1" applyFill="1" applyBorder="1" applyAlignment="1">
      <alignment horizontal="center"/>
    </xf>
    <xf numFmtId="0" fontId="20" fillId="0" borderId="42" xfId="0" applyFont="1" applyBorder="1" applyAlignment="1">
      <alignment horizontal="center" vertical="center" wrapText="1"/>
    </xf>
    <xf numFmtId="10" fontId="0" fillId="0" borderId="43" xfId="1" applyNumberFormat="1" applyFont="1" applyBorder="1" applyAlignment="1">
      <alignment horizontal="center"/>
    </xf>
    <xf numFmtId="10" fontId="0" fillId="0" borderId="46" xfId="1" applyNumberFormat="1" applyFont="1" applyBorder="1" applyAlignment="1">
      <alignment horizontal="center"/>
    </xf>
    <xf numFmtId="10" fontId="0" fillId="0" borderId="44" xfId="1" applyNumberFormat="1" applyFont="1" applyBorder="1" applyAlignment="1">
      <alignment horizontal="center"/>
    </xf>
    <xf numFmtId="10" fontId="0" fillId="0" borderId="45" xfId="1" applyNumberFormat="1" applyFont="1" applyBorder="1" applyAlignment="1">
      <alignment horizontal="center"/>
    </xf>
    <xf numFmtId="10" fontId="0" fillId="0" borderId="47" xfId="1" applyNumberFormat="1" applyFont="1" applyBorder="1" applyAlignment="1">
      <alignment horizontal="center"/>
    </xf>
    <xf numFmtId="1" fontId="0" fillId="9" borderId="19" xfId="0" applyNumberFormat="1" applyFill="1" applyBorder="1" applyAlignment="1">
      <alignment horizontal="center"/>
    </xf>
    <xf numFmtId="10" fontId="0" fillId="9" borderId="13" xfId="1" applyNumberFormat="1" applyFont="1" applyFill="1" applyBorder="1" applyAlignment="1">
      <alignment horizontal="center"/>
    </xf>
    <xf numFmtId="9" fontId="0" fillId="0" borderId="0" xfId="1" applyFont="1" applyBorder="1" applyAlignment="1">
      <alignment horizontal="center"/>
    </xf>
    <xf numFmtId="0" fontId="0" fillId="10" borderId="0" xfId="0" applyFill="1"/>
    <xf numFmtId="0" fontId="0" fillId="11" borderId="0" xfId="0" applyFill="1"/>
    <xf numFmtId="0" fontId="8" fillId="11" borderId="0" xfId="0" applyFont="1" applyFill="1"/>
    <xf numFmtId="0" fontId="14" fillId="11" borderId="0" xfId="0" applyFont="1" applyFill="1"/>
    <xf numFmtId="0" fontId="8" fillId="0" borderId="0" xfId="0" applyFont="1"/>
    <xf numFmtId="0" fontId="17" fillId="11" borderId="0" xfId="0" applyFont="1" applyFill="1"/>
    <xf numFmtId="9" fontId="0" fillId="0" borderId="56" xfId="1" applyFont="1" applyBorder="1" applyAlignment="1">
      <alignment horizontal="center"/>
    </xf>
    <xf numFmtId="9" fontId="1" fillId="0" borderId="56" xfId="1" applyFont="1" applyBorder="1" applyAlignment="1">
      <alignment horizontal="center"/>
    </xf>
    <xf numFmtId="0" fontId="21" fillId="12" borderId="0" xfId="0" applyFont="1" applyFill="1" applyAlignment="1">
      <alignment horizontal="center" vertical="center"/>
    </xf>
    <xf numFmtId="0" fontId="26" fillId="2" borderId="0" xfId="0" applyFont="1" applyFill="1"/>
    <xf numFmtId="0" fontId="23" fillId="0" borderId="0" xfId="0" applyFont="1" applyAlignment="1">
      <alignment horizontal="left" vertical="center"/>
    </xf>
    <xf numFmtId="0" fontId="2" fillId="12" borderId="0" xfId="0" applyFont="1" applyFill="1" applyBorder="1" applyAlignment="1">
      <alignment horizontal="center" vertical="center" wrapText="1"/>
    </xf>
    <xf numFmtId="0" fontId="27" fillId="12" borderId="0" xfId="0" applyFont="1" applyFill="1" applyBorder="1" applyAlignment="1">
      <alignment horizontal="center" vertical="center" wrapText="1"/>
    </xf>
    <xf numFmtId="0" fontId="28" fillId="12" borderId="0" xfId="0" applyFont="1" applyFill="1" applyBorder="1" applyAlignment="1">
      <alignment horizontal="center"/>
    </xf>
    <xf numFmtId="0" fontId="24" fillId="0" borderId="56" xfId="0" applyFont="1" applyBorder="1"/>
    <xf numFmtId="0" fontId="25" fillId="0" borderId="0" xfId="0" applyFont="1" applyAlignment="1">
      <alignment horizontal="left"/>
    </xf>
    <xf numFmtId="0" fontId="21" fillId="0" borderId="0" xfId="0" applyFont="1" applyFill="1" applyAlignment="1">
      <alignment horizontal="center" vertical="center"/>
    </xf>
    <xf numFmtId="0" fontId="23" fillId="0" borderId="0" xfId="0" applyFont="1" applyFill="1" applyAlignment="1">
      <alignment horizontal="left" vertical="center"/>
    </xf>
    <xf numFmtId="0" fontId="0" fillId="12" borderId="0" xfId="0" applyFill="1" applyBorder="1"/>
    <xf numFmtId="10" fontId="0" fillId="8" borderId="56" xfId="0" applyNumberFormat="1" applyFill="1" applyBorder="1" applyAlignment="1">
      <alignment horizontal="center"/>
    </xf>
    <xf numFmtId="0" fontId="29" fillId="12" borderId="0" xfId="0" applyFont="1" applyFill="1" applyBorder="1" applyAlignment="1">
      <alignment horizontal="center"/>
    </xf>
    <xf numFmtId="0" fontId="24" fillId="12" borderId="0" xfId="0" applyFont="1" applyFill="1" applyBorder="1" applyAlignment="1">
      <alignment horizontal="center" vertical="center"/>
    </xf>
    <xf numFmtId="0" fontId="0" fillId="0" borderId="56" xfId="0" applyFill="1" applyBorder="1" applyAlignment="1">
      <alignment horizontal="center"/>
    </xf>
    <xf numFmtId="9" fontId="0" fillId="0" borderId="56" xfId="1" applyFont="1" applyFill="1" applyBorder="1" applyAlignment="1">
      <alignment horizontal="center"/>
    </xf>
    <xf numFmtId="0" fontId="4" fillId="12" borderId="56" xfId="0" applyFont="1" applyFill="1" applyBorder="1" applyAlignment="1">
      <alignment horizontal="center" vertical="center" wrapText="1"/>
    </xf>
    <xf numFmtId="0" fontId="0" fillId="12" borderId="56" xfId="0" applyFill="1" applyBorder="1"/>
    <xf numFmtId="1" fontId="0" fillId="0" borderId="4" xfId="1" applyNumberFormat="1" applyFont="1" applyBorder="1" applyAlignment="1">
      <alignment horizontal="center"/>
    </xf>
    <xf numFmtId="9" fontId="0" fillId="0" borderId="25" xfId="0" applyNumberFormat="1" applyBorder="1" applyAlignment="1">
      <alignment horizontal="center"/>
    </xf>
    <xf numFmtId="9" fontId="0" fillId="0" borderId="25" xfId="1" applyFont="1" applyBorder="1" applyAlignment="1">
      <alignment horizontal="center"/>
    </xf>
    <xf numFmtId="10" fontId="0" fillId="0" borderId="25" xfId="0" applyNumberFormat="1" applyBorder="1" applyAlignment="1">
      <alignment horizontal="center"/>
    </xf>
    <xf numFmtId="9" fontId="0" fillId="0" borderId="26" xfId="1" applyFont="1" applyBorder="1" applyAlignment="1">
      <alignment horizontal="center"/>
    </xf>
    <xf numFmtId="9" fontId="0" fillId="0" borderId="7" xfId="1" applyFont="1" applyBorder="1" applyAlignment="1">
      <alignment horizontal="center"/>
    </xf>
    <xf numFmtId="10" fontId="0" fillId="0" borderId="7" xfId="0" applyNumberFormat="1" applyBorder="1" applyAlignment="1">
      <alignment horizontal="center"/>
    </xf>
    <xf numFmtId="9" fontId="0" fillId="0" borderId="8" xfId="1" applyFont="1" applyBorder="1" applyAlignment="1">
      <alignment horizontal="center"/>
    </xf>
    <xf numFmtId="1" fontId="2" fillId="0" borderId="26" xfId="0" applyNumberFormat="1" applyFont="1" applyFill="1" applyBorder="1" applyAlignment="1">
      <alignment horizontal="center" vertical="center"/>
    </xf>
    <xf numFmtId="1" fontId="20" fillId="0" borderId="5" xfId="0" applyNumberFormat="1" applyFont="1" applyBorder="1" applyAlignment="1">
      <alignment horizontal="center" vertical="center" wrapText="1"/>
    </xf>
    <xf numFmtId="1" fontId="20" fillId="0" borderId="8" xfId="0" applyNumberFormat="1" applyFont="1" applyBorder="1" applyAlignment="1">
      <alignment horizontal="center" vertical="center" wrapText="1"/>
    </xf>
    <xf numFmtId="1" fontId="0" fillId="0" borderId="7" xfId="1" applyNumberFormat="1" applyFont="1" applyBorder="1" applyAlignment="1">
      <alignment horizontal="center"/>
    </xf>
    <xf numFmtId="1" fontId="0" fillId="0" borderId="8" xfId="1" applyNumberFormat="1" applyFont="1" applyBorder="1" applyAlignment="1">
      <alignment horizontal="center"/>
    </xf>
    <xf numFmtId="1" fontId="0" fillId="0" borderId="61" xfId="1" applyNumberFormat="1" applyFont="1" applyBorder="1" applyAlignment="1">
      <alignment horizontal="center"/>
    </xf>
    <xf numFmtId="1" fontId="0" fillId="0" borderId="4" xfId="0" applyNumberFormat="1" applyBorder="1" applyAlignment="1">
      <alignment horizontal="center"/>
    </xf>
    <xf numFmtId="1" fontId="0" fillId="0" borderId="5" xfId="1" applyNumberFormat="1" applyFont="1" applyBorder="1" applyAlignment="1">
      <alignment horizontal="center"/>
    </xf>
    <xf numFmtId="0" fontId="2" fillId="0" borderId="62" xfId="0" applyFont="1" applyFill="1" applyBorder="1" applyAlignment="1">
      <alignment horizontal="center" vertical="center"/>
    </xf>
    <xf numFmtId="0" fontId="20" fillId="0" borderId="63" xfId="0" applyFont="1" applyBorder="1" applyAlignment="1">
      <alignment horizontal="center" vertical="center" wrapText="1"/>
    </xf>
    <xf numFmtId="0" fontId="20" fillId="0" borderId="64" xfId="0" applyFont="1" applyBorder="1" applyAlignment="1">
      <alignment horizontal="center" vertical="center" wrapText="1"/>
    </xf>
    <xf numFmtId="1" fontId="0" fillId="0" borderId="65" xfId="0" applyNumberFormat="1" applyBorder="1" applyAlignment="1">
      <alignment horizontal="center"/>
    </xf>
    <xf numFmtId="1" fontId="0" fillId="0" borderId="66" xfId="0" applyNumberFormat="1" applyBorder="1" applyAlignment="1">
      <alignment horizontal="center"/>
    </xf>
    <xf numFmtId="1" fontId="0" fillId="0" borderId="67" xfId="0" applyNumberFormat="1" applyBorder="1" applyAlignment="1">
      <alignment horizontal="center"/>
    </xf>
    <xf numFmtId="1" fontId="0" fillId="0" borderId="69" xfId="0" applyNumberFormat="1" applyBorder="1" applyAlignment="1">
      <alignment horizontal="center"/>
    </xf>
    <xf numFmtId="1" fontId="0" fillId="0" borderId="70" xfId="0" applyNumberFormat="1" applyBorder="1" applyAlignment="1">
      <alignment horizontal="center"/>
    </xf>
    <xf numFmtId="0" fontId="2" fillId="0" borderId="72" xfId="0" applyFont="1" applyFill="1" applyBorder="1" applyAlignment="1">
      <alignment horizontal="center" vertical="center"/>
    </xf>
    <xf numFmtId="0" fontId="20" fillId="0" borderId="73" xfId="0" applyFont="1" applyBorder="1" applyAlignment="1">
      <alignment horizontal="center" vertical="center" wrapText="1"/>
    </xf>
    <xf numFmtId="0" fontId="4" fillId="0" borderId="0" xfId="0" applyFont="1" applyFill="1" applyBorder="1" applyAlignment="1">
      <alignment horizontal="center" vertical="center" wrapText="1"/>
    </xf>
    <xf numFmtId="0" fontId="4" fillId="0" borderId="74" xfId="0" applyFont="1" applyFill="1" applyBorder="1" applyAlignment="1">
      <alignment horizontal="center" vertical="center" wrapText="1"/>
    </xf>
    <xf numFmtId="9" fontId="0" fillId="0" borderId="74" xfId="1" applyFont="1" applyBorder="1" applyAlignment="1">
      <alignment horizontal="center"/>
    </xf>
    <xf numFmtId="0" fontId="31" fillId="8" borderId="39" xfId="0" applyFont="1" applyFill="1" applyBorder="1" applyAlignment="1">
      <alignment horizontal="center" vertical="center"/>
    </xf>
    <xf numFmtId="0" fontId="31" fillId="8" borderId="40" xfId="0" applyFont="1" applyFill="1" applyBorder="1" applyAlignment="1">
      <alignment horizontal="center" vertical="center"/>
    </xf>
    <xf numFmtId="0" fontId="31" fillId="8" borderId="41" xfId="0" applyFont="1" applyFill="1" applyBorder="1" applyAlignment="1">
      <alignment horizontal="center" vertical="center"/>
    </xf>
    <xf numFmtId="0" fontId="2" fillId="8" borderId="75" xfId="0" applyFont="1" applyFill="1" applyBorder="1" applyAlignment="1">
      <alignment horizontal="center"/>
    </xf>
    <xf numFmtId="164" fontId="0" fillId="0" borderId="0" xfId="0" applyNumberFormat="1"/>
    <xf numFmtId="165" fontId="0" fillId="0" borderId="0" xfId="0" applyNumberFormat="1"/>
    <xf numFmtId="0" fontId="2" fillId="8" borderId="76" xfId="0" applyFont="1" applyFill="1" applyBorder="1" applyAlignment="1">
      <alignment horizontal="center" vertical="center"/>
    </xf>
    <xf numFmtId="0" fontId="4" fillId="0" borderId="76" xfId="0" applyFont="1" applyBorder="1" applyAlignment="1">
      <alignment horizontal="center" vertical="center" wrapText="1"/>
    </xf>
    <xf numFmtId="0" fontId="4" fillId="0" borderId="77" xfId="0" applyFont="1" applyBorder="1" applyAlignment="1">
      <alignment horizontal="center" vertical="center" wrapText="1"/>
    </xf>
    <xf numFmtId="0" fontId="22" fillId="4" borderId="53" xfId="0" applyFont="1" applyFill="1" applyBorder="1" applyAlignment="1">
      <alignment horizontal="left" vertical="center"/>
    </xf>
    <xf numFmtId="0" fontId="22" fillId="4" borderId="55" xfId="0" applyFont="1" applyFill="1" applyBorder="1" applyAlignment="1">
      <alignment horizontal="left" vertical="center"/>
    </xf>
    <xf numFmtId="0" fontId="22" fillId="4" borderId="54" xfId="0" applyFont="1" applyFill="1" applyBorder="1" applyAlignment="1">
      <alignment horizontal="left" vertical="center"/>
    </xf>
    <xf numFmtId="0" fontId="22" fillId="13" borderId="54" xfId="0" applyFont="1" applyFill="1" applyBorder="1" applyAlignment="1">
      <alignment horizontal="left" vertical="center"/>
    </xf>
    <xf numFmtId="0" fontId="33" fillId="0" borderId="0" xfId="0" applyFont="1"/>
    <xf numFmtId="0" fontId="32" fillId="13" borderId="0" xfId="0" applyFont="1" applyFill="1" applyAlignment="1">
      <alignment horizontal="center" vertical="center"/>
    </xf>
    <xf numFmtId="0" fontId="33" fillId="0" borderId="0" xfId="0" applyFont="1" applyFill="1"/>
    <xf numFmtId="0" fontId="32" fillId="0" borderId="0" xfId="0" applyFont="1" applyFill="1" applyAlignment="1">
      <alignment horizontal="center" vertical="center"/>
    </xf>
    <xf numFmtId="0" fontId="20" fillId="0" borderId="81" xfId="0" applyFont="1" applyBorder="1" applyAlignment="1">
      <alignment horizontal="center" vertical="center" wrapText="1"/>
    </xf>
    <xf numFmtId="0" fontId="2" fillId="0" borderId="87" xfId="0" applyFont="1" applyFill="1" applyBorder="1" applyAlignment="1">
      <alignment horizontal="center" vertical="center"/>
    </xf>
    <xf numFmtId="0" fontId="20" fillId="0" borderId="88" xfId="0" applyFont="1" applyBorder="1" applyAlignment="1">
      <alignment horizontal="center" vertical="center" wrapText="1"/>
    </xf>
    <xf numFmtId="0" fontId="26" fillId="10" borderId="0" xfId="0" applyFont="1" applyFill="1"/>
    <xf numFmtId="0" fontId="34" fillId="0" borderId="0" xfId="0" applyFont="1"/>
    <xf numFmtId="9" fontId="0" fillId="14" borderId="56" xfId="1" applyFont="1" applyFill="1" applyBorder="1" applyAlignment="1">
      <alignment horizontal="center"/>
    </xf>
    <xf numFmtId="1" fontId="0" fillId="14" borderId="56" xfId="1" applyNumberFormat="1" applyFont="1" applyFill="1" applyBorder="1" applyAlignment="1">
      <alignment horizontal="center"/>
    </xf>
    <xf numFmtId="0" fontId="20" fillId="0" borderId="89" xfId="0" applyFont="1" applyBorder="1" applyAlignment="1">
      <alignment horizontal="center" vertical="center" wrapText="1"/>
    </xf>
    <xf numFmtId="1" fontId="0" fillId="0" borderId="0" xfId="0" applyNumberFormat="1" applyBorder="1" applyAlignment="1">
      <alignment horizontal="center"/>
    </xf>
    <xf numFmtId="0" fontId="20" fillId="0" borderId="90" xfId="0" applyFont="1" applyBorder="1" applyAlignment="1">
      <alignment horizontal="center" vertical="center" wrapText="1"/>
    </xf>
    <xf numFmtId="9" fontId="0" fillId="0" borderId="90" xfId="1" applyFont="1" applyBorder="1" applyAlignment="1">
      <alignment horizontal="center"/>
    </xf>
    <xf numFmtId="0" fontId="2" fillId="0" borderId="32" xfId="0" applyFont="1" applyFill="1" applyBorder="1" applyAlignment="1">
      <alignment horizontal="center" vertical="center"/>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9" fontId="0" fillId="0" borderId="10" xfId="1" applyFont="1" applyBorder="1" applyAlignment="1">
      <alignment horizontal="center"/>
    </xf>
    <xf numFmtId="9" fontId="0" fillId="0" borderId="11" xfId="1" applyFont="1" applyBorder="1" applyAlignment="1">
      <alignment horizontal="center"/>
    </xf>
    <xf numFmtId="1" fontId="0" fillId="0" borderId="18" xfId="1" applyNumberFormat="1" applyFont="1" applyBorder="1" applyAlignment="1">
      <alignment horizontal="center"/>
    </xf>
    <xf numFmtId="1" fontId="0" fillId="0" borderId="45" xfId="1" applyNumberFormat="1" applyFont="1" applyBorder="1" applyAlignment="1">
      <alignment horizontal="center"/>
    </xf>
    <xf numFmtId="0" fontId="20" fillId="0" borderId="91" xfId="0" applyFont="1" applyBorder="1" applyAlignment="1">
      <alignment horizontal="center" vertical="center" wrapText="1"/>
    </xf>
    <xf numFmtId="9" fontId="0" fillId="0" borderId="67" xfId="1" applyFont="1" applyBorder="1" applyAlignment="1">
      <alignment horizontal="center"/>
    </xf>
    <xf numFmtId="9" fontId="0" fillId="0" borderId="68" xfId="1" applyFont="1" applyBorder="1" applyAlignment="1">
      <alignment horizontal="center"/>
    </xf>
    <xf numFmtId="9" fontId="0" fillId="0" borderId="69" xfId="1" applyFont="1" applyBorder="1" applyAlignment="1">
      <alignment horizontal="center"/>
    </xf>
    <xf numFmtId="9" fontId="0" fillId="0" borderId="70" xfId="1" applyFont="1" applyBorder="1" applyAlignment="1">
      <alignment horizontal="center"/>
    </xf>
    <xf numFmtId="9" fontId="0" fillId="0" borderId="71" xfId="1" applyFont="1" applyBorder="1" applyAlignment="1">
      <alignment horizontal="center"/>
    </xf>
    <xf numFmtId="0" fontId="4" fillId="12" borderId="93" xfId="0" applyFont="1" applyFill="1" applyBorder="1" applyAlignment="1">
      <alignment horizontal="center" vertical="center" wrapText="1"/>
    </xf>
    <xf numFmtId="9" fontId="0" fillId="0" borderId="93" xfId="1" applyFont="1" applyBorder="1" applyAlignment="1">
      <alignment horizontal="center"/>
    </xf>
    <xf numFmtId="0" fontId="4" fillId="15" borderId="94" xfId="0" applyFont="1" applyFill="1" applyBorder="1" applyAlignment="1">
      <alignment horizontal="center" vertical="center" wrapText="1"/>
    </xf>
    <xf numFmtId="9" fontId="35" fillId="0" borderId="92" xfId="1" applyFont="1" applyBorder="1" applyAlignment="1">
      <alignment horizontal="center"/>
    </xf>
    <xf numFmtId="10" fontId="0" fillId="0" borderId="21" xfId="1" applyNumberFormat="1" applyFont="1" applyFill="1" applyBorder="1" applyAlignment="1">
      <alignment horizontal="center"/>
    </xf>
    <xf numFmtId="0" fontId="3" fillId="0" borderId="0" xfId="0" applyFont="1"/>
    <xf numFmtId="1" fontId="0" fillId="0" borderId="19" xfId="0" applyNumberFormat="1" applyFont="1" applyFill="1" applyBorder="1" applyAlignment="1">
      <alignment horizontal="center"/>
    </xf>
    <xf numFmtId="10" fontId="0" fillId="0" borderId="13" xfId="1" applyNumberFormat="1" applyFont="1" applyFill="1" applyBorder="1" applyAlignment="1">
      <alignment horizontal="center"/>
    </xf>
    <xf numFmtId="10" fontId="1" fillId="0" borderId="13" xfId="1" applyNumberFormat="1" applyFont="1" applyFill="1" applyBorder="1" applyAlignment="1">
      <alignment horizontal="center"/>
    </xf>
    <xf numFmtId="9" fontId="0" fillId="0" borderId="36" xfId="1" applyFont="1" applyBorder="1" applyAlignment="1">
      <alignment horizontal="center"/>
    </xf>
    <xf numFmtId="9" fontId="0" fillId="0" borderId="98" xfId="1" applyFont="1" applyBorder="1" applyAlignment="1">
      <alignment horizontal="center"/>
    </xf>
    <xf numFmtId="9" fontId="0" fillId="0" borderId="99" xfId="1" applyFont="1" applyBorder="1" applyAlignment="1">
      <alignment horizontal="center"/>
    </xf>
    <xf numFmtId="9" fontId="0" fillId="0" borderId="43" xfId="1" applyFont="1" applyBorder="1" applyAlignment="1">
      <alignment horizontal="center"/>
    </xf>
    <xf numFmtId="9" fontId="0" fillId="0" borderId="46" xfId="1" applyFont="1" applyBorder="1" applyAlignment="1">
      <alignment horizontal="center"/>
    </xf>
    <xf numFmtId="9" fontId="0" fillId="0" borderId="44" xfId="1" applyFont="1" applyBorder="1" applyAlignment="1">
      <alignment horizontal="center"/>
    </xf>
    <xf numFmtId="9" fontId="0" fillId="0" borderId="45" xfId="1" applyFont="1" applyBorder="1" applyAlignment="1">
      <alignment horizontal="center"/>
    </xf>
    <xf numFmtId="9" fontId="0" fillId="0" borderId="47" xfId="1" applyFont="1" applyBorder="1" applyAlignment="1">
      <alignment horizontal="center"/>
    </xf>
    <xf numFmtId="0" fontId="2" fillId="0" borderId="100" xfId="0" applyFont="1" applyFill="1" applyBorder="1" applyAlignment="1">
      <alignment horizontal="center" vertical="center"/>
    </xf>
    <xf numFmtId="1" fontId="0" fillId="0" borderId="101" xfId="0" applyNumberFormat="1" applyBorder="1" applyAlignment="1">
      <alignment horizontal="center"/>
    </xf>
    <xf numFmtId="0" fontId="2" fillId="8" borderId="102" xfId="0" applyFont="1" applyFill="1" applyBorder="1" applyAlignment="1">
      <alignment horizontal="center"/>
    </xf>
    <xf numFmtId="0" fontId="2" fillId="8" borderId="103" xfId="0" applyFont="1" applyFill="1" applyBorder="1" applyAlignment="1">
      <alignment horizontal="center" vertical="center"/>
    </xf>
    <xf numFmtId="0" fontId="4" fillId="0" borderId="103" xfId="0" applyFont="1" applyBorder="1" applyAlignment="1">
      <alignment horizontal="center" vertical="center" wrapText="1"/>
    </xf>
    <xf numFmtId="0" fontId="3" fillId="0" borderId="30" xfId="0" applyFont="1" applyBorder="1" applyAlignment="1">
      <alignment horizontal="center"/>
    </xf>
    <xf numFmtId="0" fontId="4" fillId="0" borderId="104" xfId="0" applyFont="1" applyBorder="1" applyAlignment="1">
      <alignment horizontal="center" vertical="center" wrapText="1"/>
    </xf>
    <xf numFmtId="10" fontId="0" fillId="0" borderId="61" xfId="1" applyNumberFormat="1" applyFont="1" applyBorder="1" applyAlignment="1">
      <alignment horizontal="center"/>
    </xf>
    <xf numFmtId="0" fontId="0" fillId="8" borderId="57" xfId="0" applyFill="1" applyBorder="1" applyAlignment="1">
      <alignment horizontal="center"/>
    </xf>
    <xf numFmtId="0" fontId="0" fillId="8" borderId="56" xfId="0" applyFill="1" applyBorder="1" applyAlignment="1">
      <alignment horizontal="center"/>
    </xf>
    <xf numFmtId="0" fontId="2" fillId="0" borderId="105" xfId="0" applyFont="1" applyFill="1" applyBorder="1" applyAlignment="1">
      <alignment horizontal="center" vertical="center"/>
    </xf>
    <xf numFmtId="1" fontId="0" fillId="0" borderId="36" xfId="0" applyNumberFormat="1" applyBorder="1" applyAlignment="1">
      <alignment horizontal="center"/>
    </xf>
    <xf numFmtId="1" fontId="0" fillId="0" borderId="98" xfId="0" applyNumberFormat="1" applyBorder="1" applyAlignment="1">
      <alignment horizontal="center"/>
    </xf>
    <xf numFmtId="1" fontId="0" fillId="0" borderId="99" xfId="0" applyNumberFormat="1" applyBorder="1" applyAlignment="1">
      <alignment horizontal="center"/>
    </xf>
    <xf numFmtId="1" fontId="0" fillId="0" borderId="43" xfId="0" applyNumberFormat="1" applyBorder="1" applyAlignment="1">
      <alignment horizontal="center"/>
    </xf>
    <xf numFmtId="1" fontId="0" fillId="0" borderId="46" xfId="0" applyNumberFormat="1" applyBorder="1" applyAlignment="1">
      <alignment horizontal="center"/>
    </xf>
    <xf numFmtId="1" fontId="0" fillId="0" borderId="44" xfId="0" applyNumberFormat="1" applyBorder="1" applyAlignment="1">
      <alignment horizontal="center"/>
    </xf>
    <xf numFmtId="1" fontId="0" fillId="0" borderId="45" xfId="0" applyNumberFormat="1" applyBorder="1" applyAlignment="1">
      <alignment horizontal="center"/>
    </xf>
    <xf numFmtId="1" fontId="0" fillId="0" borderId="47" xfId="0" applyNumberFormat="1" applyBorder="1" applyAlignment="1">
      <alignment horizontal="center"/>
    </xf>
    <xf numFmtId="0" fontId="15" fillId="11" borderId="0" xfId="0" applyFont="1" applyFill="1"/>
    <xf numFmtId="0" fontId="16" fillId="11" borderId="0" xfId="0" applyFont="1" applyFill="1"/>
    <xf numFmtId="0" fontId="2" fillId="0" borderId="0" xfId="0" applyFont="1"/>
    <xf numFmtId="0" fontId="0" fillId="11" borderId="0" xfId="0" applyFont="1" applyFill="1"/>
    <xf numFmtId="0" fontId="0" fillId="0" borderId="0" xfId="0" applyFont="1"/>
    <xf numFmtId="0" fontId="0" fillId="0" borderId="0" xfId="0" applyFont="1" applyFill="1"/>
    <xf numFmtId="0" fontId="0" fillId="0" borderId="0" xfId="0" applyFont="1" applyAlignment="1">
      <alignment horizontal="left" vertical="center"/>
    </xf>
    <xf numFmtId="0" fontId="0" fillId="0" borderId="0" xfId="0" applyFont="1" applyFill="1" applyAlignment="1">
      <alignment horizontal="left" vertical="center"/>
    </xf>
    <xf numFmtId="0" fontId="22" fillId="13" borderId="53" xfId="0" applyFont="1" applyFill="1" applyBorder="1" applyAlignment="1">
      <alignment horizontal="left" vertical="center"/>
    </xf>
    <xf numFmtId="0" fontId="22" fillId="13" borderId="55" xfId="0" applyFont="1" applyFill="1" applyBorder="1" applyAlignment="1">
      <alignment horizontal="left" vertical="center"/>
    </xf>
    <xf numFmtId="0" fontId="2" fillId="7" borderId="32" xfId="0" applyFont="1" applyFill="1" applyBorder="1" applyAlignment="1"/>
    <xf numFmtId="0" fontId="2" fillId="7" borderId="12" xfId="0" applyFont="1" applyFill="1" applyBorder="1" applyAlignment="1"/>
    <xf numFmtId="0" fontId="0" fillId="0" borderId="0" xfId="0" applyFont="1" applyAlignment="1">
      <alignment wrapText="1"/>
    </xf>
    <xf numFmtId="0" fontId="36" fillId="0" borderId="0" xfId="0" applyFont="1"/>
    <xf numFmtId="166" fontId="0" fillId="0" borderId="18" xfId="0" applyNumberFormat="1" applyBorder="1" applyAlignment="1">
      <alignment horizontal="center"/>
    </xf>
    <xf numFmtId="166" fontId="0" fillId="0" borderId="19" xfId="0" applyNumberFormat="1" applyFont="1" applyFill="1" applyBorder="1" applyAlignment="1">
      <alignment horizontal="center"/>
    </xf>
    <xf numFmtId="0" fontId="0" fillId="0" borderId="78"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79" xfId="0" applyBorder="1" applyAlignment="1">
      <alignment horizontal="center" vertical="center" wrapText="1"/>
    </xf>
    <xf numFmtId="0" fontId="0" fillId="0" borderId="0" xfId="0" applyBorder="1" applyAlignment="1">
      <alignment horizontal="center" vertical="center" wrapText="1"/>
    </xf>
    <xf numFmtId="0" fontId="0" fillId="0" borderId="50" xfId="0" applyBorder="1" applyAlignment="1">
      <alignment horizontal="center" vertical="center" wrapText="1"/>
    </xf>
    <xf numFmtId="0" fontId="0" fillId="0" borderId="80"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78"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79" xfId="0" applyBorder="1" applyAlignment="1">
      <alignment horizontal="center" vertical="center"/>
    </xf>
    <xf numFmtId="0" fontId="0" fillId="0" borderId="0" xfId="0" applyBorder="1" applyAlignment="1">
      <alignment horizontal="center" vertical="center"/>
    </xf>
    <xf numFmtId="0" fontId="0" fillId="0" borderId="50" xfId="0" applyBorder="1" applyAlignment="1">
      <alignment horizontal="center" vertical="center"/>
    </xf>
    <xf numFmtId="0" fontId="0" fillId="0" borderId="8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30" fillId="0" borderId="0" xfId="0" applyFont="1" applyFill="1" applyBorder="1" applyAlignment="1">
      <alignment horizontal="center"/>
    </xf>
    <xf numFmtId="0" fontId="10" fillId="0" borderId="58" xfId="0" applyFont="1" applyBorder="1" applyAlignment="1">
      <alignment horizontal="center"/>
    </xf>
    <xf numFmtId="0" fontId="10" fillId="0" borderId="60" xfId="0" applyFont="1" applyBorder="1" applyAlignment="1">
      <alignment horizontal="center"/>
    </xf>
    <xf numFmtId="0" fontId="10" fillId="0" borderId="59" xfId="0" applyFont="1" applyBorder="1" applyAlignment="1">
      <alignment horizontal="center"/>
    </xf>
    <xf numFmtId="0" fontId="24" fillId="12" borderId="0" xfId="0" applyFont="1" applyFill="1" applyBorder="1" applyAlignment="1">
      <alignment horizontal="center" vertical="center" wrapText="1"/>
    </xf>
    <xf numFmtId="0" fontId="24" fillId="12" borderId="0" xfId="0" applyNumberFormat="1" applyFont="1" applyFill="1" applyBorder="1" applyAlignment="1">
      <alignment horizontal="center" vertical="center"/>
    </xf>
    <xf numFmtId="10" fontId="0" fillId="8" borderId="95" xfId="0" applyNumberFormat="1" applyFill="1" applyBorder="1" applyAlignment="1">
      <alignment horizontal="center"/>
    </xf>
    <xf numFmtId="10" fontId="0" fillId="8" borderId="96" xfId="0" applyNumberFormat="1" applyFill="1" applyBorder="1" applyAlignment="1">
      <alignment horizontal="center"/>
    </xf>
    <xf numFmtId="10" fontId="0" fillId="8" borderId="97" xfId="0" applyNumberFormat="1" applyFill="1" applyBorder="1" applyAlignment="1">
      <alignment horizontal="center"/>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0" fillId="8" borderId="33" xfId="0" applyFill="1" applyBorder="1" applyAlignment="1">
      <alignment horizontal="center"/>
    </xf>
    <xf numFmtId="0" fontId="0" fillId="8" borderId="34" xfId="0" applyFill="1" applyBorder="1" applyAlignment="1">
      <alignment horizontal="center"/>
    </xf>
    <xf numFmtId="0" fontId="0" fillId="8" borderId="35" xfId="0" applyFill="1" applyBorder="1" applyAlignment="1">
      <alignment horizontal="center"/>
    </xf>
    <xf numFmtId="0" fontId="10" fillId="8" borderId="33" xfId="0" applyFont="1" applyFill="1" applyBorder="1" applyAlignment="1">
      <alignment horizontal="center"/>
    </xf>
    <xf numFmtId="0" fontId="10" fillId="8" borderId="34" xfId="0" applyFont="1" applyFill="1" applyBorder="1" applyAlignment="1">
      <alignment horizontal="center"/>
    </xf>
    <xf numFmtId="0" fontId="10" fillId="8" borderId="35" xfId="0" applyFont="1" applyFill="1" applyBorder="1" applyAlignment="1">
      <alignment horizontal="center"/>
    </xf>
    <xf numFmtId="0" fontId="0" fillId="8" borderId="37" xfId="0" applyFill="1" applyBorder="1" applyAlignment="1">
      <alignment horizontal="center"/>
    </xf>
    <xf numFmtId="0" fontId="0" fillId="8" borderId="38" xfId="0" applyFill="1" applyBorder="1" applyAlignment="1">
      <alignment horizontal="center"/>
    </xf>
    <xf numFmtId="0" fontId="20" fillId="0" borderId="32"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1" fillId="8" borderId="33" xfId="0" applyFont="1" applyFill="1" applyBorder="1" applyAlignment="1">
      <alignment horizontal="center"/>
    </xf>
    <xf numFmtId="0" fontId="11" fillId="8" borderId="34" xfId="0" applyFont="1" applyFill="1" applyBorder="1" applyAlignment="1">
      <alignment horizontal="center"/>
    </xf>
    <xf numFmtId="0" fontId="11" fillId="8" borderId="35" xfId="0" applyFont="1" applyFill="1" applyBorder="1" applyAlignment="1">
      <alignment horizontal="center"/>
    </xf>
    <xf numFmtId="0" fontId="2" fillId="7" borderId="32" xfId="0" applyFont="1" applyFill="1" applyBorder="1" applyAlignment="1">
      <alignment horizontal="center"/>
    </xf>
    <xf numFmtId="0" fontId="2" fillId="7" borderId="12" xfId="0" applyFont="1" applyFill="1" applyBorder="1" applyAlignment="1">
      <alignment horizontal="center"/>
    </xf>
    <xf numFmtId="0" fontId="2" fillId="7" borderId="11" xfId="0" applyFont="1" applyFill="1" applyBorder="1" applyAlignment="1">
      <alignment horizontal="center"/>
    </xf>
    <xf numFmtId="0" fontId="2" fillId="8" borderId="34" xfId="0" applyFont="1" applyFill="1" applyBorder="1" applyAlignment="1">
      <alignment horizontal="center"/>
    </xf>
    <xf numFmtId="0" fontId="2" fillId="8" borderId="35" xfId="0" applyFont="1" applyFill="1" applyBorder="1" applyAlignment="1">
      <alignment horizontal="center"/>
    </xf>
    <xf numFmtId="0" fontId="2" fillId="8" borderId="33" xfId="0" applyFont="1" applyFill="1" applyBorder="1" applyAlignment="1">
      <alignment horizontal="center"/>
    </xf>
    <xf numFmtId="0" fontId="0" fillId="8" borderId="82" xfId="0" applyFill="1" applyBorder="1" applyAlignment="1">
      <alignment horizontal="center"/>
    </xf>
    <xf numFmtId="0" fontId="0" fillId="8" borderId="83" xfId="0" applyFill="1" applyBorder="1" applyAlignment="1">
      <alignment horizontal="center"/>
    </xf>
    <xf numFmtId="0" fontId="0" fillId="8" borderId="84" xfId="0" applyFill="1" applyBorder="1" applyAlignment="1">
      <alignment horizontal="center"/>
    </xf>
    <xf numFmtId="0" fontId="4" fillId="0" borderId="85" xfId="0" applyFont="1" applyBorder="1" applyAlignment="1">
      <alignment horizontal="center" vertical="center" wrapText="1"/>
    </xf>
    <xf numFmtId="0" fontId="4" fillId="0" borderId="86" xfId="0" applyFont="1" applyBorder="1" applyAlignment="1">
      <alignment horizontal="center" vertical="center" wrapText="1"/>
    </xf>
    <xf numFmtId="49" fontId="0" fillId="0" borderId="0" xfId="0" applyNumberFormat="1" applyAlignment="1">
      <alignment horizontal="center" wrapText="1"/>
    </xf>
    <xf numFmtId="0" fontId="12" fillId="0" borderId="0" xfId="0" applyFont="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EFF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572200481316515E-2"/>
          <c:y val="9.6123280303542405E-2"/>
          <c:w val="0.89107066429243242"/>
          <c:h val="0.66469791241120468"/>
        </c:manualLayout>
      </c:layout>
      <c:scatterChart>
        <c:scatterStyle val="lineMarker"/>
        <c:varyColors val="0"/>
        <c:ser>
          <c:idx val="0"/>
          <c:order val="0"/>
          <c:tx>
            <c:v>Two consecutive tests: PCR</c:v>
          </c:tx>
          <c:spPr>
            <a:ln w="25400" cap="rnd">
              <a:noFill/>
              <a:round/>
            </a:ln>
            <a:effectLst/>
          </c:spPr>
          <c:marker>
            <c:symbol val="circle"/>
            <c:size val="13"/>
            <c:spPr>
              <a:solidFill>
                <a:srgbClr val="92D050"/>
              </a:solidFill>
              <a:ln w="9525">
                <a:solidFill>
                  <a:schemeClr val="tx1"/>
                </a:solidFill>
              </a:ln>
              <a:effectLst/>
            </c:spPr>
          </c:marker>
          <c:dLbls>
            <c:dLbl>
              <c:idx val="0"/>
              <c:layout>
                <c:manualLayout>
                  <c:x val="-2.1265984487457913E-2"/>
                  <c:y val="-1.2580896248548606E-2"/>
                </c:manualLayout>
              </c:layout>
              <c:tx>
                <c:rich>
                  <a:bodyPr/>
                  <a:lstStyle/>
                  <a:p>
                    <a:fld id="{D0EFB8F2-81ED-4A60-92C1-778EAEEFDA2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3E0A-42AC-8FB1-E1AF9C936257}"/>
                </c:ext>
              </c:extLst>
            </c:dLbl>
            <c:dLbl>
              <c:idx val="1"/>
              <c:layout>
                <c:manualLayout>
                  <c:x val="-4.5124262729922824E-3"/>
                  <c:y val="-1.2991900057332863E-2"/>
                </c:manualLayout>
              </c:layout>
              <c:tx>
                <c:rich>
                  <a:bodyPr/>
                  <a:lstStyle/>
                  <a:p>
                    <a:fld id="{5F331005-E0B3-49B1-BE62-914B20CE713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3E0A-42AC-8FB1-E1AF9C936257}"/>
                </c:ext>
              </c:extLst>
            </c:dLbl>
            <c:dLbl>
              <c:idx val="2"/>
              <c:layout>
                <c:manualLayout>
                  <c:x val="-4.6581502452938102E-3"/>
                  <c:y val="1.7906596065666903E-2"/>
                </c:manualLayout>
              </c:layout>
              <c:tx>
                <c:rich>
                  <a:bodyPr/>
                  <a:lstStyle/>
                  <a:p>
                    <a:fld id="{6F363FDE-D969-45BA-8265-C2DC0E2ACCF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3E0A-42AC-8FB1-E1AF9C936257}"/>
                </c:ext>
              </c:extLst>
            </c:dLbl>
            <c:dLbl>
              <c:idx val="3"/>
              <c:layout>
                <c:manualLayout>
                  <c:x val="-4.4080675987843805E-3"/>
                  <c:y val="2.2404261745857704E-2"/>
                </c:manualLayout>
              </c:layout>
              <c:tx>
                <c:rich>
                  <a:bodyPr/>
                  <a:lstStyle/>
                  <a:p>
                    <a:fld id="{5819986B-AE2A-4CB0-A7AE-291EF47D63D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3E0A-42AC-8FB1-E1AF9C93625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errBars>
            <c:errDir val="y"/>
            <c:errBarType val="both"/>
            <c:errValType val="cust"/>
            <c:noEndCap val="0"/>
            <c:plus>
              <c:numRef>
                <c:f>'Calculations 1'!$I$47:$I$50</c:f>
                <c:numCache>
                  <c:formatCode>General</c:formatCode>
                  <c:ptCount val="4"/>
                  <c:pt idx="0">
                    <c:v>2.0000000000000035E-3</c:v>
                  </c:pt>
                  <c:pt idx="1">
                    <c:v>2.0000000000000035E-3</c:v>
                  </c:pt>
                  <c:pt idx="2">
                    <c:v>2.0000000000000035E-3</c:v>
                  </c:pt>
                  <c:pt idx="3">
                    <c:v>2.0000000000000035E-3</c:v>
                  </c:pt>
                </c:numCache>
              </c:numRef>
            </c:plus>
            <c:minus>
              <c:numRef>
                <c:f>'Calculations 1'!$G$47:$G$50</c:f>
                <c:numCache>
                  <c:formatCode>General</c:formatCode>
                  <c:ptCount val="4"/>
                  <c:pt idx="0">
                    <c:v>1.2000000000000023E-3</c:v>
                  </c:pt>
                  <c:pt idx="1">
                    <c:v>1.2000000000000023E-3</c:v>
                  </c:pt>
                  <c:pt idx="2">
                    <c:v>1.2000000000000023E-3</c:v>
                  </c:pt>
                  <c:pt idx="3">
                    <c:v>1.2000000000000023E-3</c:v>
                  </c:pt>
                </c:numCache>
              </c:numRef>
            </c:minus>
            <c:spPr>
              <a:noFill/>
              <a:ln w="9525" cap="flat" cmpd="sng" algn="ctr">
                <a:solidFill>
                  <a:schemeClr val="tx1">
                    <a:lumMod val="65000"/>
                    <a:lumOff val="35000"/>
                  </a:schemeClr>
                </a:solidFill>
                <a:round/>
              </a:ln>
              <a:effectLst/>
            </c:spPr>
          </c:errBars>
          <c:errBars>
            <c:errDir val="x"/>
            <c:errBarType val="both"/>
            <c:errValType val="cust"/>
            <c:noEndCap val="0"/>
            <c:plus>
              <c:numRef>
                <c:f>'Calculations 1'!$F$47:$F$50</c:f>
                <c:numCache>
                  <c:formatCode>General</c:formatCode>
                  <c:ptCount val="4"/>
                  <c:pt idx="0">
                    <c:v>8</c:v>
                  </c:pt>
                  <c:pt idx="1">
                    <c:v>9.3937600000000003</c:v>
                  </c:pt>
                  <c:pt idx="2">
                    <c:v>17.911999999999999</c:v>
                  </c:pt>
                  <c:pt idx="3">
                    <c:v>27.905999999999999</c:v>
                  </c:pt>
                </c:numCache>
              </c:numRef>
            </c:plus>
            <c:minus>
              <c:numRef>
                <c:f>'Calculations 1'!$D$47:$D$50</c:f>
                <c:numCache>
                  <c:formatCode>General</c:formatCode>
                  <c:ptCount val="4"/>
                  <c:pt idx="0">
                    <c:v>2</c:v>
                  </c:pt>
                  <c:pt idx="1">
                    <c:v>2.5990399999999987</c:v>
                  </c:pt>
                  <c:pt idx="2">
                    <c:v>15.963199999999997</c:v>
                  </c:pt>
                  <c:pt idx="3">
                    <c:v>8.9839999999999982</c:v>
                  </c:pt>
                </c:numCache>
              </c:numRef>
            </c:minus>
            <c:spPr>
              <a:noFill/>
              <a:ln w="9525" cap="flat" cmpd="sng" algn="ctr">
                <a:solidFill>
                  <a:schemeClr val="tx1">
                    <a:lumMod val="65000"/>
                    <a:lumOff val="35000"/>
                  </a:schemeClr>
                </a:solidFill>
                <a:round/>
              </a:ln>
              <a:effectLst/>
            </c:spPr>
          </c:errBars>
          <c:xVal>
            <c:numRef>
              <c:f>'Calculations 1'!$E$47:$E$50</c:f>
              <c:numCache>
                <c:formatCode>0</c:formatCode>
                <c:ptCount val="4"/>
                <c:pt idx="0">
                  <c:v>9</c:v>
                </c:pt>
                <c:pt idx="1">
                  <c:v>9.5990399999999987</c:v>
                </c:pt>
                <c:pt idx="2">
                  <c:v>34.958399999999997</c:v>
                </c:pt>
                <c:pt idx="3">
                  <c:v>14.982399999999998</c:v>
                </c:pt>
              </c:numCache>
            </c:numRef>
          </c:xVal>
          <c:yVal>
            <c:numRef>
              <c:f>'Calculations 1'!$H$47:$H$50</c:f>
              <c:numCache>
                <c:formatCode>0.00%</c:formatCode>
                <c:ptCount val="4"/>
                <c:pt idx="0">
                  <c:v>1.6000000000000029E-3</c:v>
                </c:pt>
                <c:pt idx="1">
                  <c:v>1.6000000000000029E-3</c:v>
                </c:pt>
                <c:pt idx="2">
                  <c:v>1.6000000000000029E-3</c:v>
                </c:pt>
                <c:pt idx="3">
                  <c:v>1.6000000000000029E-3</c:v>
                </c:pt>
              </c:numCache>
            </c:numRef>
          </c:yVal>
          <c:smooth val="0"/>
          <c:extLst>
            <c:ext xmlns:c15="http://schemas.microsoft.com/office/drawing/2012/chart" uri="{02D57815-91ED-43cb-92C2-25804820EDAC}">
              <c15:datalabelsRange>
                <c15:f>'Calculations 1'!$C$47:$C$50</c15:f>
                <c15:dlblRangeCache>
                  <c:ptCount val="4"/>
                  <c:pt idx="0">
                    <c:v>A</c:v>
                  </c:pt>
                  <c:pt idx="1">
                    <c:v>B</c:v>
                  </c:pt>
                  <c:pt idx="2">
                    <c:v>C</c:v>
                  </c:pt>
                  <c:pt idx="3">
                    <c:v>D</c:v>
                  </c:pt>
                </c15:dlblRangeCache>
              </c15:datalabelsRange>
            </c:ext>
            <c:ext xmlns:c16="http://schemas.microsoft.com/office/drawing/2014/chart" uri="{C3380CC4-5D6E-409C-BE32-E72D297353CC}">
              <c16:uniqueId val="{00000004-3E0A-42AC-8FB1-E1AF9C936257}"/>
            </c:ext>
          </c:extLst>
        </c:ser>
        <c:ser>
          <c:idx val="5"/>
          <c:order val="1"/>
          <c:tx>
            <c:v>Two consec. tests: culture</c:v>
          </c:tx>
          <c:spPr>
            <a:ln w="25400" cap="rnd">
              <a:noFill/>
              <a:round/>
            </a:ln>
            <a:effectLst/>
          </c:spPr>
          <c:marker>
            <c:symbol val="triangle"/>
            <c:size val="13"/>
            <c:spPr>
              <a:solidFill>
                <a:schemeClr val="accent6"/>
              </a:solidFill>
              <a:ln w="9525">
                <a:solidFill>
                  <a:schemeClr val="tx1"/>
                </a:solidFill>
              </a:ln>
              <a:effectLst/>
            </c:spPr>
          </c:marker>
          <c:dLbls>
            <c:dLbl>
              <c:idx val="0"/>
              <c:layout>
                <c:manualLayout>
                  <c:x val="-2.4016396293095224E-2"/>
                  <c:y val="-1.9894056440667586E-2"/>
                </c:manualLayout>
              </c:layout>
              <c:tx>
                <c:rich>
                  <a:bodyPr/>
                  <a:lstStyle/>
                  <a:p>
                    <a:fld id="{5360FD68-80F5-4EA1-899A-B98527A561D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3E0A-42AC-8FB1-E1AF9C936257}"/>
                </c:ext>
              </c:extLst>
            </c:dLbl>
            <c:dLbl>
              <c:idx val="1"/>
              <c:layout>
                <c:manualLayout>
                  <c:x val="-2.3078663092101211E-2"/>
                  <c:y val="2.1680418054094777E-2"/>
                </c:manualLayout>
              </c:layout>
              <c:tx>
                <c:rich>
                  <a:bodyPr/>
                  <a:lstStyle/>
                  <a:p>
                    <a:fld id="{6A2C4602-2C38-4A7F-AF6A-8D10BA337A9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3E0A-42AC-8FB1-E1AF9C936257}"/>
                </c:ext>
              </c:extLst>
            </c:dLbl>
            <c:dLbl>
              <c:idx val="2"/>
              <c:layout>
                <c:manualLayout>
                  <c:x val="-2.5354529319636152E-2"/>
                  <c:y val="2.2432369697860284E-2"/>
                </c:manualLayout>
              </c:layout>
              <c:tx>
                <c:rich>
                  <a:bodyPr/>
                  <a:lstStyle/>
                  <a:p>
                    <a:fld id="{E902EBD0-54C2-4C44-BB84-E19BB90DDE2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3E0A-42AC-8FB1-E1AF9C936257}"/>
                </c:ext>
              </c:extLst>
            </c:dLbl>
            <c:dLbl>
              <c:idx val="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E0A-42AC-8FB1-E1AF9C936257}"/>
                </c:ext>
              </c:extLst>
            </c:dLbl>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errBars>
            <c:errDir val="y"/>
            <c:errBarType val="both"/>
            <c:errValType val="cust"/>
            <c:noEndCap val="0"/>
            <c:plus>
              <c:numRef>
                <c:f>'Calculations 1'!$O$47:$O$50</c:f>
                <c:numCache>
                  <c:formatCode>General</c:formatCode>
                  <c:ptCount val="4"/>
                  <c:pt idx="0">
                    <c:v>8.166144000000003E-2</c:v>
                  </c:pt>
                  <c:pt idx="1">
                    <c:v>8.166144000000003E-2</c:v>
                  </c:pt>
                  <c:pt idx="2">
                    <c:v>8.166144000000003E-2</c:v>
                  </c:pt>
                  <c:pt idx="3">
                    <c:v>8.166144000000003E-2</c:v>
                  </c:pt>
                </c:numCache>
              </c:numRef>
            </c:plus>
            <c:minus>
              <c:numRef>
                <c:f>'Calculations 1'!$M$47:$M$50</c:f>
                <c:numCache>
                  <c:formatCode>General</c:formatCode>
                  <c:ptCount val="4"/>
                  <c:pt idx="0">
                    <c:v>0.15353855999999999</c:v>
                  </c:pt>
                  <c:pt idx="1">
                    <c:v>0.15353855999999999</c:v>
                  </c:pt>
                  <c:pt idx="2">
                    <c:v>0.15353855999999999</c:v>
                  </c:pt>
                  <c:pt idx="3">
                    <c:v>0.15353855999999999</c:v>
                  </c:pt>
                </c:numCache>
              </c:numRef>
            </c:minus>
            <c:spPr>
              <a:noFill/>
              <a:ln w="9525" cap="flat" cmpd="sng" algn="ctr">
                <a:solidFill>
                  <a:schemeClr val="tx1">
                    <a:lumMod val="65000"/>
                    <a:lumOff val="35000"/>
                  </a:schemeClr>
                </a:solidFill>
                <a:round/>
              </a:ln>
              <a:effectLst/>
            </c:spPr>
          </c:errBars>
          <c:errBars>
            <c:errDir val="x"/>
            <c:errBarType val="both"/>
            <c:errValType val="cust"/>
            <c:noEndCap val="0"/>
            <c:plus>
              <c:numRef>
                <c:f>'Calculations 1'!$L$47:$L$50</c:f>
                <c:numCache>
                  <c:formatCode>General</c:formatCode>
                  <c:ptCount val="4"/>
                  <c:pt idx="0">
                    <c:v>8</c:v>
                  </c:pt>
                  <c:pt idx="1">
                    <c:v>8.9119631359999989</c:v>
                  </c:pt>
                  <c:pt idx="2">
                    <c:v>12.740802559999992</c:v>
                  </c:pt>
                  <c:pt idx="3">
                    <c:v>20.829724159999998</c:v>
                  </c:pt>
                </c:numCache>
              </c:numRef>
            </c:plus>
            <c:minus>
              <c:numRef>
                <c:f>'Calculations 1'!$J$47:$J$50</c:f>
                <c:numCache>
                  <c:formatCode>General</c:formatCode>
                  <c:ptCount val="4"/>
                  <c:pt idx="0">
                    <c:v>2</c:v>
                  </c:pt>
                  <c:pt idx="1">
                    <c:v>2.4608368639999991</c:v>
                  </c:pt>
                  <c:pt idx="2">
                    <c:v>10.910397440000001</c:v>
                  </c:pt>
                  <c:pt idx="3">
                    <c:v>6.76227584</c:v>
                  </c:pt>
                </c:numCache>
              </c:numRef>
            </c:minus>
            <c:spPr>
              <a:noFill/>
              <a:ln w="15875" cap="flat" cmpd="sng" algn="ctr">
                <a:solidFill>
                  <a:schemeClr val="tx1">
                    <a:lumMod val="65000"/>
                    <a:lumOff val="35000"/>
                  </a:schemeClr>
                </a:solidFill>
                <a:round/>
              </a:ln>
              <a:effectLst/>
            </c:spPr>
          </c:errBars>
          <c:xVal>
            <c:numRef>
              <c:f>'Calculations 1'!$K$47:$K$50</c:f>
              <c:numCache>
                <c:formatCode>0</c:formatCode>
                <c:ptCount val="4"/>
                <c:pt idx="0">
                  <c:v>11</c:v>
                </c:pt>
                <c:pt idx="1">
                  <c:v>11.460836863999999</c:v>
                </c:pt>
                <c:pt idx="2">
                  <c:v>30.969597440000001</c:v>
                </c:pt>
                <c:pt idx="3">
                  <c:v>14.44867584</c:v>
                </c:pt>
              </c:numCache>
            </c:numRef>
          </c:xVal>
          <c:yVal>
            <c:numRef>
              <c:f>'Calculations 1'!$N$47:$N$50</c:f>
              <c:numCache>
                <c:formatCode>0.00%</c:formatCode>
                <c:ptCount val="4"/>
                <c:pt idx="0">
                  <c:v>0.23193856000000002</c:v>
                </c:pt>
                <c:pt idx="1">
                  <c:v>0.23193856000000002</c:v>
                </c:pt>
                <c:pt idx="2">
                  <c:v>0.23193856000000002</c:v>
                </c:pt>
                <c:pt idx="3">
                  <c:v>0.23193856000000002</c:v>
                </c:pt>
              </c:numCache>
            </c:numRef>
          </c:yVal>
          <c:smooth val="0"/>
          <c:extLst>
            <c:ext xmlns:c15="http://schemas.microsoft.com/office/drawing/2012/chart" uri="{02D57815-91ED-43cb-92C2-25804820EDAC}">
              <c15:datalabelsRange>
                <c15:f>'Calculations 1'!$C$47:$C$50</c15:f>
                <c15:dlblRangeCache>
                  <c:ptCount val="4"/>
                  <c:pt idx="0">
                    <c:v>A</c:v>
                  </c:pt>
                  <c:pt idx="1">
                    <c:v>B</c:v>
                  </c:pt>
                  <c:pt idx="2">
                    <c:v>C</c:v>
                  </c:pt>
                  <c:pt idx="3">
                    <c:v>D</c:v>
                  </c:pt>
                </c15:dlblRangeCache>
              </c15:datalabelsRange>
            </c:ext>
            <c:ext xmlns:c16="http://schemas.microsoft.com/office/drawing/2014/chart" uri="{C3380CC4-5D6E-409C-BE32-E72D297353CC}">
              <c16:uniqueId val="{00000009-3E0A-42AC-8FB1-E1AF9C936257}"/>
            </c:ext>
          </c:extLst>
        </c:ser>
        <c:ser>
          <c:idx val="1"/>
          <c:order val="2"/>
          <c:tx>
            <c:v>One test: PCR</c:v>
          </c:tx>
          <c:spPr>
            <a:ln w="25400" cap="rnd">
              <a:noFill/>
              <a:round/>
            </a:ln>
            <a:effectLst/>
          </c:spPr>
          <c:marker>
            <c:symbol val="circle"/>
            <c:size val="13"/>
            <c:spPr>
              <a:solidFill>
                <a:srgbClr val="FF0000"/>
              </a:solidFill>
              <a:ln w="9525">
                <a:solidFill>
                  <a:schemeClr val="tx1"/>
                </a:solidFill>
              </a:ln>
              <a:effectLst/>
            </c:spPr>
          </c:marker>
          <c:dLbls>
            <c:dLbl>
              <c:idx val="0"/>
              <c:layout>
                <c:manualLayout>
                  <c:x val="-1.5868180082294157E-2"/>
                  <c:y val="-2.8455474762631171E-2"/>
                </c:manualLayout>
              </c:layout>
              <c:tx>
                <c:rich>
                  <a:bodyPr/>
                  <a:lstStyle/>
                  <a:p>
                    <a:fld id="{5D91C881-B4DB-4A9B-9124-1DA8DA2D7B6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manualLayout>
                      <c:w val="1.9404300772691899E-2"/>
                      <c:h val="1.7769244297141426E-2"/>
                    </c:manualLayout>
                  </c15:layout>
                  <c15:dlblFieldTable/>
                  <c15:showDataLabelsRange val="1"/>
                </c:ext>
                <c:ext xmlns:c16="http://schemas.microsoft.com/office/drawing/2014/chart" uri="{C3380CC4-5D6E-409C-BE32-E72D297353CC}">
                  <c16:uniqueId val="{0000000A-3E0A-42AC-8FB1-E1AF9C936257}"/>
                </c:ext>
              </c:extLst>
            </c:dLbl>
            <c:dLbl>
              <c:idx val="1"/>
              <c:layout>
                <c:manualLayout>
                  <c:x val="-1.7119884174380939E-3"/>
                  <c:y val="-1.2821557576941429E-2"/>
                </c:manualLayout>
              </c:layout>
              <c:tx>
                <c:rich>
                  <a:bodyPr/>
                  <a:lstStyle/>
                  <a:p>
                    <a:fld id="{C7175CE4-3223-49AA-8D4C-4EFC59849C7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3E0A-42AC-8FB1-E1AF9C936257}"/>
                </c:ext>
              </c:extLst>
            </c:dLbl>
            <c:dLbl>
              <c:idx val="2"/>
              <c:layout>
                <c:manualLayout>
                  <c:x val="-1.7226204541198997E-2"/>
                  <c:y val="-2.614819815778395E-2"/>
                </c:manualLayout>
              </c:layout>
              <c:tx>
                <c:rich>
                  <a:bodyPr/>
                  <a:lstStyle/>
                  <a:p>
                    <a:fld id="{F3A0ADC7-F482-42F7-81FC-1F3A762726B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3E0A-42AC-8FB1-E1AF9C936257}"/>
                </c:ext>
              </c:extLst>
            </c:dLbl>
            <c:dLbl>
              <c:idx val="3"/>
              <c:layout>
                <c:manualLayout>
                  <c:x val="-3.6678984943371344E-2"/>
                  <c:y val="-1.5681760289750456E-2"/>
                </c:manualLayout>
              </c:layout>
              <c:tx>
                <c:rich>
                  <a:bodyPr/>
                  <a:lstStyle/>
                  <a:p>
                    <a:r>
                      <a:rPr lang="en-US">
                        <a:ln>
                          <a:noFill/>
                        </a:ln>
                        <a:solidFill>
                          <a:sysClr val="windowText" lastClr="000000"/>
                        </a:solidFill>
                      </a:rPr>
                      <a:t>D</a:t>
                    </a:r>
                  </a:p>
                </c:rich>
              </c:tx>
              <c:showLegendKey val="0"/>
              <c:showVal val="0"/>
              <c:showCatName val="0"/>
              <c:showSerName val="1"/>
              <c:showPercent val="0"/>
              <c:showBubbleSize val="0"/>
              <c:extLst>
                <c:ext xmlns:c15="http://schemas.microsoft.com/office/drawing/2012/chart" uri="{CE6537A1-D6FC-4f65-9D91-7224C49458BB}">
                  <c15:layout>
                    <c:manualLayout>
                      <c:w val="2.8446598868276024E-2"/>
                      <c:h val="4.7373790272534903E-2"/>
                    </c:manualLayout>
                  </c15:layout>
                </c:ext>
                <c:ext xmlns:c16="http://schemas.microsoft.com/office/drawing/2014/chart" uri="{C3380CC4-5D6E-409C-BE32-E72D297353CC}">
                  <c16:uniqueId val="{0000000D-3E0A-42AC-8FB1-E1AF9C936257}"/>
                </c:ext>
              </c:extLst>
            </c:dLbl>
            <c:spPr>
              <a:noFill/>
              <a:ln>
                <a:noFill/>
              </a:ln>
              <a:effectLst/>
            </c:spPr>
            <c:txPr>
              <a:bodyPr rot="0" spcFirstLastPara="1" vertOverflow="ellipsis" vert="horz" wrap="square" anchor="ctr" anchorCtr="1"/>
              <a:lstStyle/>
              <a:p>
                <a:pPr>
                  <a:defRPr sz="1100" b="0" i="0" u="none" strike="noStrike" kern="1200" baseline="0">
                    <a:ln>
                      <a:noFill/>
                    </a:ln>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errBars>
            <c:errDir val="y"/>
            <c:errBarType val="both"/>
            <c:errValType val="cust"/>
            <c:noEndCap val="0"/>
            <c:plus>
              <c:numRef>
                <c:f>'Calculations 1'!$U$47:$U$50</c:f>
                <c:numCache>
                  <c:formatCode>General</c:formatCode>
                  <c:ptCount val="4"/>
                  <c:pt idx="0">
                    <c:v>2.0000000000000018E-2</c:v>
                  </c:pt>
                  <c:pt idx="1">
                    <c:v>2.0000000000000018E-2</c:v>
                  </c:pt>
                  <c:pt idx="2">
                    <c:v>2.0000000000000018E-2</c:v>
                  </c:pt>
                  <c:pt idx="3">
                    <c:v>2.0000000000000018E-2</c:v>
                  </c:pt>
                </c:numCache>
              </c:numRef>
            </c:plus>
            <c:minus>
              <c:numRef>
                <c:f>'Calculations 1'!$S$47:$S$50</c:f>
                <c:numCache>
                  <c:formatCode>General</c:formatCode>
                  <c:ptCount val="4"/>
                  <c:pt idx="0">
                    <c:v>2.0000000000000018E-2</c:v>
                  </c:pt>
                  <c:pt idx="1">
                    <c:v>2.0000000000000018E-2</c:v>
                  </c:pt>
                  <c:pt idx="2">
                    <c:v>2.0000000000000018E-2</c:v>
                  </c:pt>
                  <c:pt idx="3">
                    <c:v>2.0000000000000018E-2</c:v>
                  </c:pt>
                </c:numCache>
              </c:numRef>
            </c:minus>
            <c:spPr>
              <a:noFill/>
              <a:ln w="9525" cap="flat" cmpd="sng" algn="ctr">
                <a:solidFill>
                  <a:schemeClr val="tx1">
                    <a:lumMod val="65000"/>
                    <a:lumOff val="35000"/>
                  </a:schemeClr>
                </a:solidFill>
                <a:round/>
              </a:ln>
              <a:effectLst/>
            </c:spPr>
          </c:errBars>
          <c:errBars>
            <c:errDir val="x"/>
            <c:errBarType val="both"/>
            <c:errValType val="cust"/>
            <c:noEndCap val="0"/>
            <c:plus>
              <c:numRef>
                <c:f>'Calculations 1'!$R$47:$R$50</c:f>
                <c:numCache>
                  <c:formatCode>General</c:formatCode>
                  <c:ptCount val="4"/>
                  <c:pt idx="0">
                    <c:v>4</c:v>
                  </c:pt>
                  <c:pt idx="1">
                    <c:v>5.3039999999999994</c:v>
                  </c:pt>
                  <c:pt idx="2">
                    <c:v>12.880000000000003</c:v>
                  </c:pt>
                  <c:pt idx="3">
                    <c:v>22.58</c:v>
                  </c:pt>
                </c:numCache>
              </c:numRef>
            </c:plus>
            <c:minus>
              <c:numRef>
                <c:f>'Calculations 1'!$P$47:$P$50</c:f>
                <c:numCache>
                  <c:formatCode>General</c:formatCode>
                  <c:ptCount val="4"/>
                  <c:pt idx="0">
                    <c:v>1</c:v>
                  </c:pt>
                  <c:pt idx="1">
                    <c:v>1.5759999999999996</c:v>
                  </c:pt>
                  <c:pt idx="2">
                    <c:v>14.2</c:v>
                  </c:pt>
                  <c:pt idx="3">
                    <c:v>7.6400000000000006</c:v>
                  </c:pt>
                </c:numCache>
              </c:numRef>
            </c:minus>
            <c:spPr>
              <a:noFill/>
              <a:ln w="15875" cap="flat" cmpd="sng" algn="ctr">
                <a:solidFill>
                  <a:schemeClr val="tx1">
                    <a:lumMod val="65000"/>
                    <a:lumOff val="35000"/>
                  </a:schemeClr>
                </a:solidFill>
                <a:round/>
              </a:ln>
              <a:effectLst/>
            </c:spPr>
          </c:errBars>
          <c:xVal>
            <c:numRef>
              <c:f>'Calculations 1'!$Q$47:$Q$50</c:f>
              <c:numCache>
                <c:formatCode>0</c:formatCode>
                <c:ptCount val="4"/>
                <c:pt idx="0">
                  <c:v>7</c:v>
                </c:pt>
                <c:pt idx="1">
                  <c:v>7.5759999999999996</c:v>
                </c:pt>
                <c:pt idx="2">
                  <c:v>31.96</c:v>
                </c:pt>
                <c:pt idx="3">
                  <c:v>12.56</c:v>
                </c:pt>
              </c:numCache>
            </c:numRef>
          </c:xVal>
          <c:yVal>
            <c:numRef>
              <c:f>'Calculations 1'!$T$47:$T$50</c:f>
              <c:numCache>
                <c:formatCode>0.00%</c:formatCode>
                <c:ptCount val="4"/>
                <c:pt idx="0">
                  <c:v>4.0000000000000036E-2</c:v>
                </c:pt>
                <c:pt idx="1">
                  <c:v>4.0000000000000036E-2</c:v>
                </c:pt>
                <c:pt idx="2">
                  <c:v>4.0000000000000036E-2</c:v>
                </c:pt>
                <c:pt idx="3">
                  <c:v>4.0000000000000036E-2</c:v>
                </c:pt>
              </c:numCache>
            </c:numRef>
          </c:yVal>
          <c:smooth val="0"/>
          <c:extLst>
            <c:ext xmlns:c15="http://schemas.microsoft.com/office/drawing/2012/chart" uri="{02D57815-91ED-43cb-92C2-25804820EDAC}">
              <c15:datalabelsRange>
                <c15:f>'Calculations 1'!$C$47:$C$50</c15:f>
                <c15:dlblRangeCache>
                  <c:ptCount val="4"/>
                  <c:pt idx="0">
                    <c:v>A</c:v>
                  </c:pt>
                  <c:pt idx="1">
                    <c:v>B</c:v>
                  </c:pt>
                  <c:pt idx="2">
                    <c:v>C</c:v>
                  </c:pt>
                  <c:pt idx="3">
                    <c:v>D</c:v>
                  </c:pt>
                </c15:dlblRangeCache>
              </c15:datalabelsRange>
            </c:ext>
            <c:ext xmlns:c16="http://schemas.microsoft.com/office/drawing/2014/chart" uri="{C3380CC4-5D6E-409C-BE32-E72D297353CC}">
              <c16:uniqueId val="{0000000E-3E0A-42AC-8FB1-E1AF9C936257}"/>
            </c:ext>
          </c:extLst>
        </c:ser>
        <c:ser>
          <c:idx val="6"/>
          <c:order val="3"/>
          <c:tx>
            <c:v>One test: culture</c:v>
          </c:tx>
          <c:spPr>
            <a:ln w="25400" cap="rnd">
              <a:noFill/>
              <a:round/>
            </a:ln>
            <a:effectLst/>
          </c:spPr>
          <c:marker>
            <c:symbol val="triangle"/>
            <c:size val="13"/>
            <c:spPr>
              <a:solidFill>
                <a:srgbClr val="FF0000"/>
              </a:solidFill>
              <a:ln w="9525">
                <a:solidFill>
                  <a:schemeClr val="tx1"/>
                </a:solidFill>
              </a:ln>
              <a:effectLst/>
            </c:spPr>
          </c:marker>
          <c:dLbls>
            <c:dLbl>
              <c:idx val="0"/>
              <c:layout>
                <c:manualLayout>
                  <c:x val="-2.4776677396105878E-2"/>
                  <c:y val="-1.8434053144225141E-2"/>
                </c:manualLayout>
              </c:layout>
              <c:tx>
                <c:rich>
                  <a:bodyPr/>
                  <a:lstStyle/>
                  <a:p>
                    <a:fld id="{0BFE2A0E-7FD0-47B9-B242-9AD806EC336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3E0A-42AC-8FB1-E1AF9C936257}"/>
                </c:ext>
              </c:extLst>
            </c:dLbl>
            <c:dLbl>
              <c:idx val="1"/>
              <c:layout>
                <c:manualLayout>
                  <c:x val="-1.7296755680067728E-2"/>
                  <c:y val="3.4071402482946843E-2"/>
                </c:manualLayout>
              </c:layout>
              <c:tx>
                <c:rich>
                  <a:bodyPr/>
                  <a:lstStyle/>
                  <a:p>
                    <a:fld id="{9A33B489-67B5-41DC-AB03-B8C31208520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3E0A-42AC-8FB1-E1AF9C936257}"/>
                </c:ext>
              </c:extLst>
            </c:dLbl>
            <c:dLbl>
              <c:idx val="2"/>
              <c:layout>
                <c:manualLayout>
                  <c:x val="-2.2716851485671336E-2"/>
                  <c:y val="-1.4674781827739708E-2"/>
                </c:manualLayout>
              </c:layout>
              <c:tx>
                <c:rich>
                  <a:bodyPr/>
                  <a:lstStyle/>
                  <a:p>
                    <a:fld id="{887CF956-83C9-43F3-A40E-357BC861493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3E0A-42AC-8FB1-E1AF9C936257}"/>
                </c:ext>
              </c:extLst>
            </c:dLbl>
            <c:dLbl>
              <c:idx val="3"/>
              <c:layout>
                <c:manualLayout>
                  <c:x val="-1.0934010170412893E-2"/>
                  <c:y val="-5.4638857854268648E-2"/>
                </c:manualLayout>
              </c:layout>
              <c:tx>
                <c:rich>
                  <a:bodyPr/>
                  <a:lstStyle/>
                  <a:p>
                    <a:endParaRPr lang="en-US">
                      <a:solidFill>
                        <a:schemeClr val="tx1"/>
                      </a:solidFill>
                    </a:endParaRPr>
                  </a:p>
                </c:rich>
              </c:tx>
              <c:showLegendKey val="0"/>
              <c:showVal val="0"/>
              <c:showCatName val="0"/>
              <c:showSerName val="0"/>
              <c:showPercent val="0"/>
              <c:showBubbleSize val="0"/>
              <c:extLst>
                <c:ext xmlns:c15="http://schemas.microsoft.com/office/drawing/2012/chart" uri="{CE6537A1-D6FC-4f65-9D91-7224C49458BB}">
                  <c15:layout>
                    <c:manualLayout>
                      <c:w val="3.3211108451029203E-2"/>
                      <c:h val="7.1107418327410993E-2"/>
                    </c:manualLayout>
                  </c15:layout>
                </c:ext>
                <c:ext xmlns:c16="http://schemas.microsoft.com/office/drawing/2014/chart" uri="{C3380CC4-5D6E-409C-BE32-E72D297353CC}">
                  <c16:uniqueId val="{00000012-3E0A-42AC-8FB1-E1AF9C936257}"/>
                </c:ext>
              </c:extLst>
            </c:dLbl>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errBars>
            <c:errDir val="y"/>
            <c:errBarType val="both"/>
            <c:errValType val="cust"/>
            <c:noEndCap val="0"/>
            <c:plus>
              <c:numRef>
                <c:f>'Calculations 1'!$AA$47:$AA$50</c:f>
                <c:numCache>
                  <c:formatCode>General</c:formatCode>
                  <c:ptCount val="4"/>
                  <c:pt idx="0">
                    <c:v>7.8400000000000025E-2</c:v>
                  </c:pt>
                  <c:pt idx="1">
                    <c:v>7.8400000000000025E-2</c:v>
                  </c:pt>
                  <c:pt idx="2">
                    <c:v>7.8400000000000025E-2</c:v>
                  </c:pt>
                  <c:pt idx="3">
                    <c:v>7.8400000000000025E-2</c:v>
                  </c:pt>
                </c:numCache>
              </c:numRef>
            </c:plus>
            <c:minus>
              <c:numRef>
                <c:f>'Calculations 1'!$Y$47:$Y$50</c:f>
                <c:numCache>
                  <c:formatCode>General</c:formatCode>
                  <c:ptCount val="4"/>
                  <c:pt idx="0">
                    <c:v>0.2016</c:v>
                  </c:pt>
                  <c:pt idx="1">
                    <c:v>0.2016</c:v>
                  </c:pt>
                  <c:pt idx="2">
                    <c:v>0.2016</c:v>
                  </c:pt>
                  <c:pt idx="3">
                    <c:v>0.2016</c:v>
                  </c:pt>
                </c:numCache>
              </c:numRef>
            </c:minus>
            <c:spPr>
              <a:noFill/>
              <a:ln w="15875" cap="flat" cmpd="sng" algn="ctr">
                <a:solidFill>
                  <a:schemeClr val="tx1">
                    <a:lumMod val="65000"/>
                    <a:lumOff val="35000"/>
                  </a:schemeClr>
                </a:solidFill>
                <a:round/>
              </a:ln>
              <a:effectLst/>
            </c:spPr>
          </c:errBars>
          <c:errBars>
            <c:errDir val="x"/>
            <c:errBarType val="both"/>
            <c:errValType val="cust"/>
            <c:noEndCap val="0"/>
            <c:plus>
              <c:numRef>
                <c:f>'Calculations 1'!$X$47:$X$50</c:f>
                <c:numCache>
                  <c:formatCode>General</c:formatCode>
                  <c:ptCount val="4"/>
                  <c:pt idx="0">
                    <c:v>4</c:v>
                  </c:pt>
                  <c:pt idx="1">
                    <c:v>4.5689599999999988</c:v>
                  </c:pt>
                  <c:pt idx="2">
                    <c:v>6.3615999999999957</c:v>
                  </c:pt>
                  <c:pt idx="3">
                    <c:v>11.9376</c:v>
                  </c:pt>
                </c:numCache>
              </c:numRef>
            </c:plus>
            <c:minus>
              <c:numRef>
                <c:f>'Calculations 1'!$V$47:$V$50</c:f>
                <c:numCache>
                  <c:formatCode>General</c:formatCode>
                  <c:ptCount val="4"/>
                  <c:pt idx="0">
                    <c:v>1</c:v>
                  </c:pt>
                  <c:pt idx="1">
                    <c:v>1.3110400000000002</c:v>
                  </c:pt>
                  <c:pt idx="2">
                    <c:v>5.8384</c:v>
                  </c:pt>
                  <c:pt idx="3">
                    <c:v>3.8224</c:v>
                  </c:pt>
                </c:numCache>
              </c:numRef>
            </c:minus>
            <c:spPr>
              <a:noFill/>
              <a:ln w="15875" cap="flat" cmpd="sng" algn="ctr">
                <a:solidFill>
                  <a:schemeClr val="tx1">
                    <a:lumMod val="65000"/>
                    <a:lumOff val="35000"/>
                  </a:schemeClr>
                </a:solidFill>
                <a:round/>
              </a:ln>
              <a:effectLst/>
            </c:spPr>
          </c:errBars>
          <c:xVal>
            <c:numRef>
              <c:f>'Calculations 1'!$W$47:$W$50</c:f>
              <c:numCache>
                <c:formatCode>0.0</c:formatCode>
                <c:ptCount val="4"/>
                <c:pt idx="0">
                  <c:v>8</c:v>
                </c:pt>
                <c:pt idx="1">
                  <c:v>8.3110400000000002</c:v>
                </c:pt>
                <c:pt idx="2">
                  <c:v>21.478400000000001</c:v>
                </c:pt>
                <c:pt idx="3">
                  <c:v>8.7024000000000008</c:v>
                </c:pt>
              </c:numCache>
            </c:numRef>
          </c:xVal>
          <c:yVal>
            <c:numRef>
              <c:f>'Calculations 1'!$Z$47:$Z$50</c:f>
              <c:numCache>
                <c:formatCode>0.00%</c:formatCode>
                <c:ptCount val="4"/>
                <c:pt idx="0">
                  <c:v>0.48160000000000003</c:v>
                </c:pt>
                <c:pt idx="1">
                  <c:v>0.48160000000000003</c:v>
                </c:pt>
                <c:pt idx="2">
                  <c:v>0.48160000000000003</c:v>
                </c:pt>
                <c:pt idx="3">
                  <c:v>0.48160000000000003</c:v>
                </c:pt>
              </c:numCache>
            </c:numRef>
          </c:yVal>
          <c:smooth val="0"/>
          <c:extLst>
            <c:ext xmlns:c15="http://schemas.microsoft.com/office/drawing/2012/chart" uri="{02D57815-91ED-43cb-92C2-25804820EDAC}">
              <c15:datalabelsRange>
                <c15:f>'Calculations 1'!$C$47:$C$50</c15:f>
                <c15:dlblRangeCache>
                  <c:ptCount val="4"/>
                  <c:pt idx="0">
                    <c:v>A</c:v>
                  </c:pt>
                  <c:pt idx="1">
                    <c:v>B</c:v>
                  </c:pt>
                  <c:pt idx="2">
                    <c:v>C</c:v>
                  </c:pt>
                  <c:pt idx="3">
                    <c:v>D</c:v>
                  </c:pt>
                </c15:dlblRangeCache>
              </c15:datalabelsRange>
            </c:ext>
            <c:ext xmlns:c16="http://schemas.microsoft.com/office/drawing/2014/chart" uri="{C3380CC4-5D6E-409C-BE32-E72D297353CC}">
              <c16:uniqueId val="{00000013-3E0A-42AC-8FB1-E1AF9C936257}"/>
            </c:ext>
          </c:extLst>
        </c:ser>
        <c:ser>
          <c:idx val="2"/>
          <c:order val="4"/>
          <c:tx>
            <c:strRef>
              <c:f>'Calculations 1'!$C$39</c:f>
              <c:strCache>
                <c:ptCount val="1"/>
                <c:pt idx="0">
                  <c:v>14 days after onset</c:v>
                </c:pt>
              </c:strCache>
            </c:strRef>
          </c:tx>
          <c:spPr>
            <a:ln w="25400" cap="rnd">
              <a:noFill/>
              <a:round/>
            </a:ln>
            <a:effectLst/>
          </c:spPr>
          <c:marker>
            <c:symbol val="circle"/>
            <c:size val="13"/>
            <c:spPr>
              <a:solidFill>
                <a:schemeClr val="accent3"/>
              </a:solidFill>
              <a:ln w="9525">
                <a:solidFill>
                  <a:schemeClr val="tx1"/>
                </a:solidFill>
              </a:ln>
              <a:effectLst/>
            </c:spPr>
          </c:marker>
          <c:dLbls>
            <c:dLbl>
              <c:idx val="0"/>
              <c:layout>
                <c:manualLayout>
                  <c:x val="-2.9632139439957156E-2"/>
                  <c:y val="1.2804602191161469E-2"/>
                </c:manualLayout>
              </c:layout>
              <c:tx>
                <c:rich>
                  <a:bodyPr/>
                  <a:lstStyle/>
                  <a:p>
                    <a:fld id="{6A1D88A0-1322-49C3-9BD2-D9C2655398F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3E0A-42AC-8FB1-E1AF9C936257}"/>
                </c:ext>
              </c:extLst>
            </c:dLbl>
            <c:dLbl>
              <c:idx val="1"/>
              <c:layout>
                <c:manualLayout>
                  <c:x val="-1.9686531890504493E-2"/>
                  <c:y val="1.7750131515926092E-2"/>
                </c:manualLayout>
              </c:layout>
              <c:tx>
                <c:rich>
                  <a:bodyPr/>
                  <a:lstStyle/>
                  <a:p>
                    <a:fld id="{53292A43-FC6C-4D9C-8B31-D3F593465CF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manualLayout>
                      <c:w val="9.7116453331938055E-3"/>
                      <c:h val="3.0662985049184566E-2"/>
                    </c:manualLayout>
                  </c15:layout>
                  <c15:dlblFieldTable/>
                  <c15:showDataLabelsRange val="1"/>
                </c:ext>
                <c:ext xmlns:c16="http://schemas.microsoft.com/office/drawing/2014/chart" uri="{C3380CC4-5D6E-409C-BE32-E72D297353CC}">
                  <c16:uniqueId val="{00000015-3E0A-42AC-8FB1-E1AF9C936257}"/>
                </c:ext>
              </c:extLst>
            </c:dLbl>
            <c:dLbl>
              <c:idx val="2"/>
              <c:layout>
                <c:manualLayout>
                  <c:x val="-2.4985204349075908E-2"/>
                  <c:y val="1.1151123484891699E-3"/>
                </c:manualLayout>
              </c:layout>
              <c:tx>
                <c:rich>
                  <a:bodyPr/>
                  <a:lstStyle/>
                  <a:p>
                    <a:fld id="{933D405B-8521-48AD-AD16-BECD1134BA3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3E0A-42AC-8FB1-E1AF9C936257}"/>
                </c:ext>
              </c:extLst>
            </c:dLbl>
            <c:dLbl>
              <c:idx val="3"/>
              <c:layout>
                <c:manualLayout>
                  <c:x val="-1.1207487964987385E-2"/>
                  <c:y val="2.3565791783383343E-2"/>
                </c:manualLayout>
              </c:layout>
              <c:tx>
                <c:rich>
                  <a:bodyPr/>
                  <a:lstStyle/>
                  <a:p>
                    <a:fld id="{8D1D8F15-6685-42B0-B5DE-35B87CA7947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manualLayout>
                      <c:w val="1.2856307741135675E-2"/>
                      <c:h val="3.1995834632488049E-2"/>
                    </c:manualLayout>
                  </c15:layout>
                  <c15:dlblFieldTable/>
                  <c15:showDataLabelsRange val="1"/>
                </c:ext>
                <c:ext xmlns:c16="http://schemas.microsoft.com/office/drawing/2014/chart" uri="{C3380CC4-5D6E-409C-BE32-E72D297353CC}">
                  <c16:uniqueId val="{00000017-3E0A-42AC-8FB1-E1AF9C936257}"/>
                </c:ext>
              </c:extLst>
            </c:dLbl>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errBars>
            <c:errDir val="y"/>
            <c:errBarType val="both"/>
            <c:errValType val="cust"/>
            <c:noEndCap val="0"/>
            <c:plus>
              <c:numRef>
                <c:f>'Calculations 1'!$AG$47:$AG$50</c:f>
                <c:numCache>
                  <c:formatCode>General</c:formatCode>
                  <c:ptCount val="4"/>
                  <c:pt idx="0">
                    <c:v>0</c:v>
                  </c:pt>
                  <c:pt idx="1">
                    <c:v>0</c:v>
                  </c:pt>
                  <c:pt idx="2">
                    <c:v>0.11014948859166007</c:v>
                  </c:pt>
                  <c:pt idx="3">
                    <c:v>0.54838709677419351</c:v>
                  </c:pt>
                </c:numCache>
              </c:numRef>
            </c:plus>
            <c:minus>
              <c:numRef>
                <c:f>'Calculations 1'!$AE$47:$AE$50</c:f>
                <c:numCache>
                  <c:formatCode>General</c:formatCode>
                  <c:ptCount val="4"/>
                  <c:pt idx="0">
                    <c:v>0</c:v>
                  </c:pt>
                  <c:pt idx="1">
                    <c:v>0</c:v>
                  </c:pt>
                  <c:pt idx="2">
                    <c:v>0.37191650853889935</c:v>
                  </c:pt>
                  <c:pt idx="3">
                    <c:v>0</c:v>
                  </c:pt>
                </c:numCache>
              </c:numRef>
            </c:minus>
            <c:spPr>
              <a:noFill/>
              <a:ln w="15875" cap="flat" cmpd="sng" algn="ctr">
                <a:solidFill>
                  <a:schemeClr val="tx1">
                    <a:lumMod val="65000"/>
                    <a:lumOff val="35000"/>
                  </a:schemeClr>
                </a:solidFill>
                <a:round/>
              </a:ln>
              <a:effectLst/>
            </c:spPr>
          </c:errBars>
          <c:errBars>
            <c:errDir val="x"/>
            <c:errBarType val="both"/>
            <c:errValType val="cust"/>
            <c:noEndCap val="0"/>
            <c:plus>
              <c:numRef>
                <c:f>'Calculations 1'!$AD$47:$AD$50</c:f>
                <c:numCache>
                  <c:formatCode>General</c:formatCode>
                  <c:ptCount val="4"/>
                  <c:pt idx="0">
                    <c:v>0</c:v>
                  </c:pt>
                  <c:pt idx="1">
                    <c:v>0</c:v>
                  </c:pt>
                  <c:pt idx="2">
                    <c:v>0</c:v>
                  </c:pt>
                  <c:pt idx="3">
                    <c:v>0</c:v>
                  </c:pt>
                </c:numCache>
              </c:numRef>
            </c:plus>
            <c:minus>
              <c:numRef>
                <c:f>'Calculations 1'!$AB$47:$AB$50</c:f>
                <c:numCache>
                  <c:formatCode>General</c:formatCode>
                  <c:ptCount val="4"/>
                  <c:pt idx="0">
                    <c:v>0</c:v>
                  </c:pt>
                  <c:pt idx="1">
                    <c:v>0</c:v>
                  </c:pt>
                  <c:pt idx="2">
                    <c:v>0</c:v>
                  </c:pt>
                  <c:pt idx="3">
                    <c:v>0</c:v>
                  </c:pt>
                </c:numCache>
              </c:numRef>
            </c:minus>
            <c:spPr>
              <a:noFill/>
              <a:ln w="9525" cap="flat" cmpd="sng" algn="ctr">
                <a:solidFill>
                  <a:schemeClr val="tx1">
                    <a:lumMod val="65000"/>
                    <a:lumOff val="35000"/>
                  </a:schemeClr>
                </a:solidFill>
                <a:round/>
              </a:ln>
              <a:effectLst/>
            </c:spPr>
          </c:errBars>
          <c:xVal>
            <c:numRef>
              <c:f>'Calculations 1'!$AC$47:$AC$50</c:f>
              <c:numCache>
                <c:formatCode>0</c:formatCode>
                <c:ptCount val="4"/>
                <c:pt idx="0">
                  <c:v>14</c:v>
                </c:pt>
                <c:pt idx="1">
                  <c:v>14</c:v>
                </c:pt>
                <c:pt idx="2">
                  <c:v>14</c:v>
                </c:pt>
                <c:pt idx="3">
                  <c:v>14</c:v>
                </c:pt>
              </c:numCache>
            </c:numRef>
          </c:xVal>
          <c:yVal>
            <c:numRef>
              <c:f>'Calculations 1'!$AF$47:$AF$50</c:f>
              <c:numCache>
                <c:formatCode>0.00%</c:formatCode>
                <c:ptCount val="4"/>
                <c:pt idx="0">
                  <c:v>0</c:v>
                </c:pt>
                <c:pt idx="1">
                  <c:v>0</c:v>
                </c:pt>
                <c:pt idx="2">
                  <c:v>0.54838709677419351</c:v>
                </c:pt>
                <c:pt idx="3">
                  <c:v>0</c:v>
                </c:pt>
              </c:numCache>
            </c:numRef>
          </c:yVal>
          <c:smooth val="0"/>
          <c:extLst>
            <c:ext xmlns:c15="http://schemas.microsoft.com/office/drawing/2012/chart" uri="{02D57815-91ED-43cb-92C2-25804820EDAC}">
              <c15:datalabelsRange>
                <c15:f>'Calculations 1'!$C$47:$C$50</c15:f>
                <c15:dlblRangeCache>
                  <c:ptCount val="4"/>
                  <c:pt idx="0">
                    <c:v>A</c:v>
                  </c:pt>
                  <c:pt idx="1">
                    <c:v>B</c:v>
                  </c:pt>
                  <c:pt idx="2">
                    <c:v>C</c:v>
                  </c:pt>
                  <c:pt idx="3">
                    <c:v>D</c:v>
                  </c:pt>
                </c15:dlblRangeCache>
              </c15:datalabelsRange>
            </c:ext>
            <c:ext xmlns:c16="http://schemas.microsoft.com/office/drawing/2014/chart" uri="{C3380CC4-5D6E-409C-BE32-E72D297353CC}">
              <c16:uniqueId val="{00000018-3E0A-42AC-8FB1-E1AF9C936257}"/>
            </c:ext>
          </c:extLst>
        </c:ser>
        <c:ser>
          <c:idx val="3"/>
          <c:order val="5"/>
          <c:tx>
            <c:v>7 days after beggining tx</c:v>
          </c:tx>
          <c:spPr>
            <a:ln w="25400" cap="rnd">
              <a:noFill/>
              <a:round/>
            </a:ln>
            <a:effectLst/>
          </c:spPr>
          <c:marker>
            <c:symbol val="circle"/>
            <c:size val="14"/>
            <c:spPr>
              <a:solidFill>
                <a:schemeClr val="accent4"/>
              </a:solidFill>
              <a:ln w="9525">
                <a:solidFill>
                  <a:schemeClr val="tx1"/>
                </a:solidFill>
              </a:ln>
              <a:effectLst/>
            </c:spPr>
          </c:marker>
          <c:dLbls>
            <c:dLbl>
              <c:idx val="0"/>
              <c:layout>
                <c:manualLayout>
                  <c:x val="-6.1313177429445885E-3"/>
                  <c:y val="1.2670536350112558E-2"/>
                </c:manualLayout>
              </c:layout>
              <c:tx>
                <c:rich>
                  <a:bodyPr/>
                  <a:lstStyle/>
                  <a:p>
                    <a:fld id="{78A5786C-0D18-4BF0-83E2-4BA04320153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3E0A-42AC-8FB1-E1AF9C936257}"/>
                </c:ext>
              </c:extLst>
            </c:dLbl>
            <c:dLbl>
              <c:idx val="1"/>
              <c:layout>
                <c:manualLayout>
                  <c:x val="7.3124812761236961E-5"/>
                  <c:y val="1.0274832345408285E-2"/>
                </c:manualLayout>
              </c:layout>
              <c:tx>
                <c:rich>
                  <a:bodyPr/>
                  <a:lstStyle/>
                  <a:p>
                    <a:fld id="{19EBE110-4EEE-44D3-AA18-02FD50E622C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manualLayout>
                      <c:w val="1.0806328678166915E-2"/>
                      <c:h val="3.1123253562405417E-2"/>
                    </c:manualLayout>
                  </c15:layout>
                  <c15:dlblFieldTable/>
                  <c15:showDataLabelsRange val="1"/>
                </c:ext>
                <c:ext xmlns:c16="http://schemas.microsoft.com/office/drawing/2014/chart" uri="{C3380CC4-5D6E-409C-BE32-E72D297353CC}">
                  <c16:uniqueId val="{0000001A-3E0A-42AC-8FB1-E1AF9C936257}"/>
                </c:ext>
              </c:extLst>
            </c:dLbl>
            <c:dLbl>
              <c:idx val="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3E0A-42AC-8FB1-E1AF9C936257}"/>
                </c:ext>
              </c:extLst>
            </c:dLbl>
            <c:dLbl>
              <c:idx val="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3E0A-42AC-8FB1-E1AF9C936257}"/>
                </c:ext>
              </c:extLst>
            </c:dLbl>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errBars>
            <c:errDir val="y"/>
            <c:errBarType val="both"/>
            <c:errValType val="cust"/>
            <c:noEndCap val="0"/>
            <c:plus>
              <c:numRef>
                <c:f>'Calculations 1'!$AM$47:$AM$49</c:f>
                <c:numCache>
                  <c:formatCode>General</c:formatCode>
                  <c:ptCount val="3"/>
                  <c:pt idx="0">
                    <c:v>0</c:v>
                  </c:pt>
                  <c:pt idx="1">
                    <c:v>0</c:v>
                  </c:pt>
                  <c:pt idx="2">
                    <c:v>0</c:v>
                  </c:pt>
                </c:numCache>
              </c:numRef>
            </c:plus>
            <c:minus>
              <c:numRef>
                <c:f>'Calculations 1'!$AK$47:$AK$49</c:f>
                <c:numCache>
                  <c:formatCode>General</c:formatCode>
                  <c:ptCount val="3"/>
                  <c:pt idx="0">
                    <c:v>0</c:v>
                  </c:pt>
                  <c:pt idx="1">
                    <c:v>0</c:v>
                  </c:pt>
                  <c:pt idx="2">
                    <c:v>0</c:v>
                  </c:pt>
                </c:numCache>
              </c:numRef>
            </c:minus>
            <c:spPr>
              <a:noFill/>
              <a:ln w="9525" cap="flat" cmpd="sng" algn="ctr">
                <a:solidFill>
                  <a:schemeClr val="tx1">
                    <a:lumMod val="65000"/>
                    <a:lumOff val="35000"/>
                  </a:schemeClr>
                </a:solidFill>
                <a:round/>
              </a:ln>
              <a:effectLst/>
            </c:spPr>
          </c:errBars>
          <c:errBars>
            <c:errDir val="x"/>
            <c:errBarType val="both"/>
            <c:errValType val="cust"/>
            <c:noEndCap val="0"/>
            <c:plus>
              <c:numRef>
                <c:f>'Calculations 1'!$AJ$47:$AJ$49</c:f>
                <c:numCache>
                  <c:formatCode>General</c:formatCode>
                  <c:ptCount val="3"/>
                  <c:pt idx="0">
                    <c:v>0</c:v>
                  </c:pt>
                  <c:pt idx="1">
                    <c:v>0</c:v>
                  </c:pt>
                  <c:pt idx="2">
                    <c:v>0</c:v>
                  </c:pt>
                </c:numCache>
              </c:numRef>
            </c:plus>
            <c:minus>
              <c:numRef>
                <c:f>'Calculations 1'!$AH$47:$AH$49</c:f>
                <c:numCache>
                  <c:formatCode>General</c:formatCode>
                  <c:ptCount val="3"/>
                  <c:pt idx="0">
                    <c:v>0</c:v>
                  </c:pt>
                  <c:pt idx="1">
                    <c:v>0</c:v>
                  </c:pt>
                  <c:pt idx="2">
                    <c:v>0</c:v>
                  </c:pt>
                </c:numCache>
              </c:numRef>
            </c:minus>
            <c:spPr>
              <a:noFill/>
              <a:ln w="9525" cap="flat" cmpd="sng" algn="ctr">
                <a:solidFill>
                  <a:schemeClr val="tx1">
                    <a:lumMod val="65000"/>
                    <a:lumOff val="35000"/>
                  </a:schemeClr>
                </a:solidFill>
                <a:round/>
              </a:ln>
              <a:effectLst/>
            </c:spPr>
          </c:errBars>
          <c:xVal>
            <c:numRef>
              <c:f>'Calculations 1'!$AI$47:$AI$50</c:f>
              <c:numCache>
                <c:formatCode>0</c:formatCode>
                <c:ptCount val="4"/>
                <c:pt idx="0">
                  <c:v>7</c:v>
                </c:pt>
                <c:pt idx="1">
                  <c:v>7</c:v>
                </c:pt>
                <c:pt idx="2">
                  <c:v>7</c:v>
                </c:pt>
              </c:numCache>
            </c:numRef>
          </c:xVal>
          <c:yVal>
            <c:numRef>
              <c:f>'Calculations 1'!$AL$47:$AL$50</c:f>
              <c:numCache>
                <c:formatCode>0.00%</c:formatCode>
                <c:ptCount val="4"/>
                <c:pt idx="0">
                  <c:v>0</c:v>
                </c:pt>
                <c:pt idx="1">
                  <c:v>0</c:v>
                </c:pt>
                <c:pt idx="2">
                  <c:v>1</c:v>
                </c:pt>
              </c:numCache>
            </c:numRef>
          </c:yVal>
          <c:smooth val="0"/>
          <c:extLst>
            <c:ext xmlns:c15="http://schemas.microsoft.com/office/drawing/2012/chart" uri="{02D57815-91ED-43cb-92C2-25804820EDAC}">
              <c15:datalabelsRange>
                <c15:f>'Calculations 1'!$C$47:$C$50</c15:f>
                <c15:dlblRangeCache>
                  <c:ptCount val="4"/>
                  <c:pt idx="0">
                    <c:v>A</c:v>
                  </c:pt>
                  <c:pt idx="1">
                    <c:v>B</c:v>
                  </c:pt>
                  <c:pt idx="2">
                    <c:v>C</c:v>
                  </c:pt>
                  <c:pt idx="3">
                    <c:v>D</c:v>
                  </c:pt>
                </c15:dlblRangeCache>
              </c15:datalabelsRange>
            </c:ext>
            <c:ext xmlns:c16="http://schemas.microsoft.com/office/drawing/2014/chart" uri="{C3380CC4-5D6E-409C-BE32-E72D297353CC}">
              <c16:uniqueId val="{0000001D-3E0A-42AC-8FB1-E1AF9C936257}"/>
            </c:ext>
          </c:extLst>
        </c:ser>
        <c:ser>
          <c:idx val="4"/>
          <c:order val="6"/>
          <c:tx>
            <c:strRef>
              <c:f>'Calculations 1'!$C$41</c:f>
              <c:strCache>
                <c:ptCount val="1"/>
                <c:pt idx="0">
                  <c:v>24 hr symptom free</c:v>
                </c:pt>
              </c:strCache>
            </c:strRef>
          </c:tx>
          <c:spPr>
            <a:ln w="25400" cap="rnd">
              <a:noFill/>
              <a:round/>
            </a:ln>
            <a:effectLst/>
          </c:spPr>
          <c:marker>
            <c:symbol val="circle"/>
            <c:size val="14"/>
            <c:spPr>
              <a:solidFill>
                <a:srgbClr val="7030A0"/>
              </a:solidFill>
              <a:ln w="9525">
                <a:solidFill>
                  <a:schemeClr val="tx1"/>
                </a:solidFill>
              </a:ln>
              <a:effectLst/>
            </c:spPr>
          </c:marker>
          <c:dLbls>
            <c:dLbl>
              <c:idx val="0"/>
              <c:layout>
                <c:manualLayout>
                  <c:x val="-2.5643582898875594E-2"/>
                  <c:y val="1.7723241312467782E-2"/>
                </c:manualLayout>
              </c:layout>
              <c:tx>
                <c:rich>
                  <a:bodyPr/>
                  <a:lstStyle/>
                  <a:p>
                    <a:fld id="{4C5AE048-FBA8-40F2-B550-4EE979F8DD1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E-3E0A-42AC-8FB1-E1AF9C936257}"/>
                </c:ext>
              </c:extLst>
            </c:dLbl>
            <c:dLbl>
              <c:idx val="1"/>
              <c:layout>
                <c:manualLayout>
                  <c:x val="-2.3469810650762975E-2"/>
                  <c:y val="1.334553157237413E-2"/>
                </c:manualLayout>
              </c:layout>
              <c:tx>
                <c:rich>
                  <a:bodyPr/>
                  <a:lstStyle/>
                  <a:p>
                    <a:fld id="{63CCD7DD-DAC6-45B5-A6F2-7101944F4BD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manualLayout>
                      <c:w val="1.1616699639831583E-2"/>
                      <c:h val="3.2792504720563408E-2"/>
                    </c:manualLayout>
                  </c15:layout>
                  <c15:dlblFieldTable/>
                  <c15:showDataLabelsRange val="1"/>
                </c:ext>
                <c:ext xmlns:c16="http://schemas.microsoft.com/office/drawing/2014/chart" uri="{C3380CC4-5D6E-409C-BE32-E72D297353CC}">
                  <c16:uniqueId val="{0000001F-3E0A-42AC-8FB1-E1AF9C936257}"/>
                </c:ext>
              </c:extLst>
            </c:dLbl>
            <c:dLbl>
              <c:idx val="2"/>
              <c:layout>
                <c:manualLayout>
                  <c:x val="-2.2902678595071987E-2"/>
                  <c:y val="-1.6389943379526463E-2"/>
                </c:manualLayout>
              </c:layout>
              <c:tx>
                <c:rich>
                  <a:bodyPr/>
                  <a:lstStyle/>
                  <a:p>
                    <a:fld id="{A72A8B33-A608-45E0-8035-AC8D77D5C852}" type="CELLRANGE">
                      <a:rPr lang="en-US" baseline="0"/>
                      <a:pPr/>
                      <a:t>[CELLRANGE]</a:t>
                    </a:fld>
                    <a:endParaRPr lang="en-US"/>
                  </a:p>
                </c:rich>
              </c:tx>
              <c:showLegendKey val="0"/>
              <c:showVal val="0"/>
              <c:showCatName val="0"/>
              <c:showSerName val="1"/>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0-3E0A-42AC-8FB1-E1AF9C936257}"/>
                </c:ext>
              </c:extLst>
            </c:dLbl>
            <c:dLbl>
              <c:idx val="3"/>
              <c:layout>
                <c:manualLayout>
                  <c:x val="-2.295851124006857E-2"/>
                  <c:y val="1.4406163243299857E-2"/>
                </c:manualLayout>
              </c:layout>
              <c:tx>
                <c:rich>
                  <a:bodyPr/>
                  <a:lstStyle/>
                  <a:p>
                    <a:fld id="{B89525BA-1246-4745-8C16-A0C9F049D4D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1-3E0A-42AC-8FB1-E1AF9C936257}"/>
                </c:ext>
              </c:extLst>
            </c:dLbl>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DataLabelsRange val="1"/>
                <c15:showLeaderLines val="0"/>
              </c:ext>
            </c:extLst>
          </c:dLbls>
          <c:errBars>
            <c:errDir val="y"/>
            <c:errBarType val="both"/>
            <c:errValType val="cust"/>
            <c:noEndCap val="0"/>
            <c:plus>
              <c:numRef>
                <c:f>'Calculations 1'!$AS$47:$AS$50</c:f>
                <c:numCache>
                  <c:formatCode>General</c:formatCode>
                  <c:ptCount val="4"/>
                  <c:pt idx="0">
                    <c:v>0</c:v>
                  </c:pt>
                  <c:pt idx="1">
                    <c:v>0</c:v>
                  </c:pt>
                  <c:pt idx="2">
                    <c:v>0.23719165085388993</c:v>
                  </c:pt>
                  <c:pt idx="3">
                    <c:v>4.5454545454545414E-2</c:v>
                  </c:pt>
                </c:numCache>
              </c:numRef>
            </c:plus>
            <c:minus>
              <c:numRef>
                <c:f>'Calculations 1'!$AQ$47:$AQ$50</c:f>
                <c:numCache>
                  <c:formatCode>General</c:formatCode>
                  <c:ptCount val="4"/>
                  <c:pt idx="0">
                    <c:v>0</c:v>
                  </c:pt>
                  <c:pt idx="1">
                    <c:v>0</c:v>
                  </c:pt>
                  <c:pt idx="2">
                    <c:v>0.64516129032258063</c:v>
                  </c:pt>
                  <c:pt idx="3">
                    <c:v>0.45454545454545459</c:v>
                  </c:pt>
                </c:numCache>
              </c:numRef>
            </c:minus>
            <c:spPr>
              <a:noFill/>
              <a:ln w="15875" cap="flat" cmpd="sng" algn="ctr">
                <a:solidFill>
                  <a:schemeClr val="tx1">
                    <a:lumMod val="65000"/>
                    <a:lumOff val="35000"/>
                  </a:schemeClr>
                </a:solidFill>
                <a:round/>
              </a:ln>
              <a:effectLst/>
            </c:spPr>
          </c:errBars>
          <c:errBars>
            <c:errDir val="x"/>
            <c:errBarType val="both"/>
            <c:errValType val="cust"/>
            <c:noEndCap val="0"/>
            <c:plus>
              <c:numRef>
                <c:f>'Calculations 1'!$AP$47:$AP$50</c:f>
                <c:numCache>
                  <c:formatCode>General</c:formatCode>
                  <c:ptCount val="4"/>
                  <c:pt idx="0">
                    <c:v>1.4000000000000004</c:v>
                  </c:pt>
                  <c:pt idx="1">
                    <c:v>1.4000000000000004</c:v>
                  </c:pt>
                  <c:pt idx="2">
                    <c:v>31</c:v>
                  </c:pt>
                  <c:pt idx="3">
                    <c:v>25</c:v>
                  </c:pt>
                </c:numCache>
              </c:numRef>
            </c:plus>
            <c:minus>
              <c:numRef>
                <c:f>'Calculations 1'!$AN$47:$AN$50</c:f>
                <c:numCache>
                  <c:formatCode>General</c:formatCode>
                  <c:ptCount val="4"/>
                  <c:pt idx="0">
                    <c:v>2.5999999999999996</c:v>
                  </c:pt>
                  <c:pt idx="1">
                    <c:v>2.5999999999999996</c:v>
                  </c:pt>
                  <c:pt idx="2">
                    <c:v>9</c:v>
                  </c:pt>
                  <c:pt idx="3">
                    <c:v>4</c:v>
                  </c:pt>
                </c:numCache>
              </c:numRef>
            </c:minus>
            <c:spPr>
              <a:noFill/>
              <a:ln w="15875" cap="flat" cmpd="sng" algn="ctr">
                <a:solidFill>
                  <a:schemeClr val="tx1">
                    <a:lumMod val="65000"/>
                    <a:lumOff val="35000"/>
                  </a:schemeClr>
                </a:solidFill>
                <a:round/>
              </a:ln>
              <a:effectLst/>
            </c:spPr>
          </c:errBars>
          <c:xVal>
            <c:numRef>
              <c:f>'Calculations 1'!$AO$47:$AO$50</c:f>
              <c:numCache>
                <c:formatCode>0</c:formatCode>
                <c:ptCount val="4"/>
                <c:pt idx="0">
                  <c:v>4.5999999999999996</c:v>
                </c:pt>
                <c:pt idx="1">
                  <c:v>6.6</c:v>
                </c:pt>
                <c:pt idx="2">
                  <c:v>11</c:v>
                </c:pt>
                <c:pt idx="3">
                  <c:v>6</c:v>
                </c:pt>
              </c:numCache>
            </c:numRef>
          </c:xVal>
          <c:yVal>
            <c:numRef>
              <c:f>'Calculations 1'!$AR$47:$AR$50</c:f>
              <c:numCache>
                <c:formatCode>0.00%</c:formatCode>
                <c:ptCount val="4"/>
                <c:pt idx="0">
                  <c:v>0</c:v>
                </c:pt>
                <c:pt idx="1">
                  <c:v>0</c:v>
                </c:pt>
                <c:pt idx="2">
                  <c:v>0.64516129032258063</c:v>
                </c:pt>
                <c:pt idx="3">
                  <c:v>0.45454545454545459</c:v>
                </c:pt>
              </c:numCache>
            </c:numRef>
          </c:yVal>
          <c:smooth val="0"/>
          <c:extLst>
            <c:ext xmlns:c15="http://schemas.microsoft.com/office/drawing/2012/chart" uri="{02D57815-91ED-43cb-92C2-25804820EDAC}">
              <c15:datalabelsRange>
                <c15:f>'Calculations 1'!$C$47:$C$50</c15:f>
                <c15:dlblRangeCache>
                  <c:ptCount val="4"/>
                  <c:pt idx="0">
                    <c:v>A</c:v>
                  </c:pt>
                  <c:pt idx="1">
                    <c:v>B</c:v>
                  </c:pt>
                  <c:pt idx="2">
                    <c:v>C</c:v>
                  </c:pt>
                  <c:pt idx="3">
                    <c:v>D</c:v>
                  </c:pt>
                </c15:dlblRangeCache>
              </c15:datalabelsRange>
            </c:ext>
            <c:ext xmlns:c16="http://schemas.microsoft.com/office/drawing/2014/chart" uri="{C3380CC4-5D6E-409C-BE32-E72D297353CC}">
              <c16:uniqueId val="{00000022-3E0A-42AC-8FB1-E1AF9C936257}"/>
            </c:ext>
          </c:extLst>
        </c:ser>
        <c:dLbls>
          <c:showLegendKey val="0"/>
          <c:showVal val="0"/>
          <c:showCatName val="0"/>
          <c:showSerName val="0"/>
          <c:showPercent val="0"/>
          <c:showBubbleSize val="0"/>
        </c:dLbls>
        <c:axId val="120435600"/>
        <c:axId val="120906176"/>
      </c:scatterChart>
      <c:valAx>
        <c:axId val="120435600"/>
        <c:scaling>
          <c:orientation val="minMax"/>
          <c:max val="40"/>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sz="1400" b="1" i="0" u="none" strike="noStrike" baseline="0">
                    <a:effectLst/>
                  </a:rPr>
                  <a:t>Childcare-days lost per child</a:t>
                </a:r>
                <a:endParaRPr lang="en-US" sz="1400" b="1"/>
              </a:p>
            </c:rich>
          </c:tx>
          <c:layout>
            <c:manualLayout>
              <c:xMode val="edge"/>
              <c:yMode val="edge"/>
              <c:x val="0.56961568302743548"/>
              <c:y val="0.80985662856897733"/>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0" sourceLinked="1"/>
        <c:majorTickMark val="out"/>
        <c:minorTickMark val="out"/>
        <c:tickLblPos val="nextTo"/>
        <c:spPr>
          <a:noFill/>
          <a:ln w="12700" cap="flat" cmpd="sng" algn="ctr">
            <a:solidFill>
              <a:schemeClr val="tx1"/>
            </a:solidFill>
            <a:round/>
          </a:ln>
          <a:effectLst/>
        </c:spPr>
        <c:txPr>
          <a:bodyPr rot="-60000000" spcFirstLastPara="1" vertOverflow="ellipsis" vert="horz" wrap="square" anchor="ctr" anchorCtr="1"/>
          <a:lstStyle/>
          <a:p>
            <a:pPr>
              <a:defRPr sz="20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20906176"/>
        <c:crosses val="autoZero"/>
        <c:crossBetween val="midCat"/>
        <c:majorUnit val="10"/>
        <c:minorUnit val="5"/>
      </c:valAx>
      <c:valAx>
        <c:axId val="120906176"/>
        <c:scaling>
          <c:orientation val="minMax"/>
          <c:max val="1"/>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sz="1400" b="1" i="0" u="none" strike="noStrike" baseline="0">
                    <a:effectLst/>
                  </a:rPr>
                  <a:t>Probability that infectious child will be readmitted to childcare</a:t>
                </a:r>
                <a:endParaRPr lang="en-US" sz="1400" b="1"/>
              </a:p>
            </c:rich>
          </c:tx>
          <c:layout>
            <c:manualLayout>
              <c:xMode val="edge"/>
              <c:yMode val="edge"/>
              <c:x val="1.1153512016939947E-2"/>
              <c:y val="0.10433345486883761"/>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0%" sourceLinked="0"/>
        <c:majorTickMark val="out"/>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20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20435600"/>
        <c:crosses val="autoZero"/>
        <c:crossBetween val="midCat"/>
        <c:majorUnit val="0.2"/>
        <c:minorUnit val="0.1"/>
      </c:valAx>
      <c:spPr>
        <a:noFill/>
        <a:ln w="25400">
          <a:noFill/>
        </a:ln>
        <a:effectLst/>
      </c:spPr>
    </c:plotArea>
    <c:legend>
      <c:legendPos val="b"/>
      <c:layout>
        <c:manualLayout>
          <c:xMode val="edge"/>
          <c:yMode val="edge"/>
          <c:x val="6.814798649934739E-2"/>
          <c:y val="0.83126092077996883"/>
          <c:w val="0.92093661867375332"/>
          <c:h val="8.3104833460978439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orientation="landscape"/>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01219873647785E-2"/>
          <c:y val="4.4125244829366701E-2"/>
          <c:w val="0.88835222230801281"/>
          <c:h val="0.73938349750701093"/>
        </c:manualLayout>
      </c:layout>
      <c:scatterChart>
        <c:scatterStyle val="lineMarker"/>
        <c:varyColors val="0"/>
        <c:ser>
          <c:idx val="0"/>
          <c:order val="0"/>
          <c:tx>
            <c:strRef>
              <c:f>'Calculations 1'!$C$35</c:f>
              <c:strCache>
                <c:ptCount val="1"/>
                <c:pt idx="0">
                  <c:v>Two consecutive tests: PCR</c:v>
                </c:pt>
              </c:strCache>
            </c:strRef>
          </c:tx>
          <c:spPr>
            <a:ln w="25400" cap="rnd">
              <a:noFill/>
              <a:round/>
            </a:ln>
            <a:effectLst/>
          </c:spPr>
          <c:marker>
            <c:symbol val="circle"/>
            <c:size val="13"/>
            <c:spPr>
              <a:solidFill>
                <a:srgbClr val="92D050"/>
              </a:solidFill>
              <a:ln w="9525">
                <a:solidFill>
                  <a:schemeClr val="tx1"/>
                </a:solidFill>
              </a:ln>
              <a:effectLst/>
            </c:spPr>
          </c:marker>
          <c:dLbls>
            <c:dLbl>
              <c:idx val="0"/>
              <c:layout>
                <c:manualLayout>
                  <c:x val="-3.323204370124453E-2"/>
                  <c:y val="-1.5943315768099937E-2"/>
                </c:manualLayout>
              </c:layout>
              <c:tx>
                <c:rich>
                  <a:bodyPr/>
                  <a:lstStyle/>
                  <a:p>
                    <a:fld id="{5FA776FC-19F7-408B-B256-A03186DE243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4D93-4708-BDCB-8D8CAE06B251}"/>
                </c:ext>
              </c:extLst>
            </c:dLbl>
            <c:dLbl>
              <c:idx val="1"/>
              <c:layout>
                <c:manualLayout>
                  <c:x val="-4.3183138652802024E-2"/>
                  <c:y val="-1.3900628398546807E-2"/>
                </c:manualLayout>
              </c:layout>
              <c:tx>
                <c:rich>
                  <a:bodyPr/>
                  <a:lstStyle/>
                  <a:p>
                    <a:fld id="{8D93095D-A937-408A-AED8-5B0CAC3720C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4D93-4708-BDCB-8D8CAE06B251}"/>
                </c:ext>
              </c:extLst>
            </c:dLbl>
            <c:dLbl>
              <c:idx val="2"/>
              <c:layout>
                <c:manualLayout>
                  <c:x val="-3.6283614861345792E-2"/>
                  <c:y val="-1.3329924540098417E-2"/>
                </c:manualLayout>
              </c:layout>
              <c:tx>
                <c:rich>
                  <a:bodyPr/>
                  <a:lstStyle/>
                  <a:p>
                    <a:fld id="{E4B9D772-11A0-4349-B032-9B37F097861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4D93-4708-BDCB-8D8CAE06B251}"/>
                </c:ext>
              </c:extLst>
            </c:dLbl>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errBars>
            <c:errDir val="y"/>
            <c:errBarType val="both"/>
            <c:errValType val="cust"/>
            <c:noEndCap val="0"/>
            <c:plus>
              <c:numRef>
                <c:f>'Calculations 1'!$I$61:$I$63</c:f>
                <c:numCache>
                  <c:formatCode>General</c:formatCode>
                  <c:ptCount val="3"/>
                  <c:pt idx="0">
                    <c:v>2.0000000000000035E-3</c:v>
                  </c:pt>
                  <c:pt idx="1">
                    <c:v>2.0000000000000035E-3</c:v>
                  </c:pt>
                  <c:pt idx="2">
                    <c:v>2.0000000000000035E-3</c:v>
                  </c:pt>
                </c:numCache>
              </c:numRef>
            </c:plus>
            <c:minus>
              <c:numRef>
                <c:f>'Calculations 1'!$G$61:$G$63</c:f>
                <c:numCache>
                  <c:formatCode>General</c:formatCode>
                  <c:ptCount val="3"/>
                  <c:pt idx="0">
                    <c:v>1.2000000000000023E-3</c:v>
                  </c:pt>
                  <c:pt idx="1">
                    <c:v>1.2000000000000023E-3</c:v>
                  </c:pt>
                  <c:pt idx="2">
                    <c:v>1.2000000000000023E-3</c:v>
                  </c:pt>
                </c:numCache>
              </c:numRef>
            </c:minus>
            <c:spPr>
              <a:noFill/>
              <a:ln w="9525" cap="flat" cmpd="sng" algn="ctr">
                <a:solidFill>
                  <a:schemeClr val="tx1">
                    <a:lumMod val="65000"/>
                    <a:lumOff val="35000"/>
                  </a:schemeClr>
                </a:solidFill>
                <a:round/>
              </a:ln>
              <a:effectLst/>
            </c:spPr>
          </c:errBars>
          <c:errBars>
            <c:errDir val="x"/>
            <c:errBarType val="both"/>
            <c:errValType val="cust"/>
            <c:noEndCap val="0"/>
            <c:plus>
              <c:numRef>
                <c:f>'Calculations 1'!$F$61:$F$63</c:f>
                <c:numCache>
                  <c:formatCode>General</c:formatCode>
                  <c:ptCount val="3"/>
                  <c:pt idx="0">
                    <c:v>10.048404000000001</c:v>
                  </c:pt>
                  <c:pt idx="1">
                    <c:v>15.80294</c:v>
                  </c:pt>
                  <c:pt idx="2">
                    <c:v>20.144463999999999</c:v>
                  </c:pt>
                </c:numCache>
              </c:numRef>
            </c:plus>
            <c:minus>
              <c:numRef>
                <c:f>'Calculations 1'!$D$61:$D$63</c:f>
                <c:numCache>
                  <c:formatCode>General</c:formatCode>
                  <c:ptCount val="3"/>
                  <c:pt idx="0">
                    <c:v>3.2869759999999992</c:v>
                  </c:pt>
                  <c:pt idx="1">
                    <c:v>7.3865599999999985</c:v>
                  </c:pt>
                  <c:pt idx="2">
                    <c:v>8.3744959999999988</c:v>
                  </c:pt>
                </c:numCache>
              </c:numRef>
            </c:minus>
            <c:spPr>
              <a:noFill/>
              <a:ln w="12700" cap="flat" cmpd="sng" algn="ctr">
                <a:solidFill>
                  <a:schemeClr val="tx1">
                    <a:lumMod val="65000"/>
                    <a:lumOff val="35000"/>
                  </a:schemeClr>
                </a:solidFill>
                <a:round/>
              </a:ln>
              <a:effectLst/>
            </c:spPr>
          </c:errBars>
          <c:xVal>
            <c:numRef>
              <c:f>'Calculations 1'!$E$61:$E$63</c:f>
              <c:numCache>
                <c:formatCode>0</c:formatCode>
                <c:ptCount val="3"/>
                <c:pt idx="0">
                  <c:v>10.836656</c:v>
                </c:pt>
                <c:pt idx="1">
                  <c:v>17.13496</c:v>
                </c:pt>
                <c:pt idx="2">
                  <c:v>17.272735999999998</c:v>
                </c:pt>
              </c:numCache>
            </c:numRef>
          </c:xVal>
          <c:yVal>
            <c:numRef>
              <c:f>'Calculations 1'!$H$61:$H$63</c:f>
              <c:numCache>
                <c:formatCode>0%</c:formatCode>
                <c:ptCount val="3"/>
                <c:pt idx="0">
                  <c:v>1.6000000000000031E-3</c:v>
                </c:pt>
                <c:pt idx="1">
                  <c:v>1.6000000000000029E-3</c:v>
                </c:pt>
                <c:pt idx="2">
                  <c:v>1.6000000000000029E-3</c:v>
                </c:pt>
              </c:numCache>
            </c:numRef>
          </c:yVal>
          <c:smooth val="0"/>
          <c:extLst>
            <c:ext xmlns:c15="http://schemas.microsoft.com/office/drawing/2012/chart" uri="{02D57815-91ED-43cb-92C2-25804820EDAC}">
              <c15:datalabelsRange>
                <c15:f>'Calculations 1'!$C$61:$C$63</c15:f>
                <c15:dlblRangeCache>
                  <c:ptCount val="3"/>
                  <c:pt idx="0">
                    <c:v>1</c:v>
                  </c:pt>
                  <c:pt idx="1">
                    <c:v>2</c:v>
                  </c:pt>
                  <c:pt idx="2">
                    <c:v>3</c:v>
                  </c:pt>
                </c15:dlblRangeCache>
              </c15:datalabelsRange>
            </c:ext>
            <c:ext xmlns:c16="http://schemas.microsoft.com/office/drawing/2014/chart" uri="{C3380CC4-5D6E-409C-BE32-E72D297353CC}">
              <c16:uniqueId val="{00000003-4D93-4708-BDCB-8D8CAE06B251}"/>
            </c:ext>
          </c:extLst>
        </c:ser>
        <c:ser>
          <c:idx val="5"/>
          <c:order val="1"/>
          <c:tx>
            <c:strRef>
              <c:f>'Calculations 1'!$C$36</c:f>
              <c:strCache>
                <c:ptCount val="1"/>
                <c:pt idx="0">
                  <c:v>Two consec. Tests: culture</c:v>
                </c:pt>
              </c:strCache>
            </c:strRef>
          </c:tx>
          <c:spPr>
            <a:ln w="25400" cap="rnd">
              <a:noFill/>
              <a:round/>
            </a:ln>
            <a:effectLst/>
          </c:spPr>
          <c:marker>
            <c:symbol val="triangle"/>
            <c:size val="13"/>
            <c:spPr>
              <a:solidFill>
                <a:schemeClr val="accent6"/>
              </a:solidFill>
              <a:ln w="9525">
                <a:solidFill>
                  <a:schemeClr val="tx1"/>
                </a:solidFill>
              </a:ln>
              <a:effectLst/>
            </c:spPr>
          </c:marker>
          <c:dLbls>
            <c:dLbl>
              <c:idx val="0"/>
              <c:layout>
                <c:manualLayout>
                  <c:x val="-3.1953888174273588E-2"/>
                  <c:y val="-2.2665531146680788E-2"/>
                </c:manualLayout>
              </c:layout>
              <c:tx>
                <c:rich>
                  <a:bodyPr/>
                  <a:lstStyle/>
                  <a:p>
                    <a:fld id="{1A1ABF1D-E8B8-40EB-8174-2CB95EE7E24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4D93-4708-BDCB-8D8CAE06B251}"/>
                </c:ext>
              </c:extLst>
            </c:dLbl>
            <c:dLbl>
              <c:idx val="1"/>
              <c:layout>
                <c:manualLayout>
                  <c:x val="-4.2179132390041132E-2"/>
                  <c:y val="-1.5808253248771376E-2"/>
                </c:manualLayout>
              </c:layout>
              <c:tx>
                <c:rich>
                  <a:bodyPr/>
                  <a:lstStyle/>
                  <a:p>
                    <a:fld id="{39851C49-0DA5-4CC8-BA86-70CF4F7685C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4D93-4708-BDCB-8D8CAE06B251}"/>
                </c:ext>
              </c:extLst>
            </c:dLbl>
            <c:dLbl>
              <c:idx val="2"/>
              <c:layout>
                <c:manualLayout>
                  <c:x val="-3.1953888174273588E-2"/>
                  <c:y val="-1.6931540965893509E-2"/>
                </c:manualLayout>
              </c:layout>
              <c:tx>
                <c:rich>
                  <a:bodyPr/>
                  <a:lstStyle/>
                  <a:p>
                    <a:fld id="{DD688860-436E-4AEB-A124-D16BAF36913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4D93-4708-BDCB-8D8CAE06B251}"/>
                </c:ext>
              </c:extLst>
            </c:dLbl>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errBars>
            <c:errDir val="y"/>
            <c:errBarType val="both"/>
            <c:errValType val="cust"/>
            <c:noEndCap val="0"/>
            <c:plus>
              <c:numRef>
                <c:f>'Calculations 1'!$O$61:$O$63</c:f>
                <c:numCache>
                  <c:formatCode>General</c:formatCode>
                  <c:ptCount val="3"/>
                  <c:pt idx="0">
                    <c:v>8.1661440000000043E-2</c:v>
                  </c:pt>
                  <c:pt idx="1">
                    <c:v>8.166144000000003E-2</c:v>
                  </c:pt>
                  <c:pt idx="2">
                    <c:v>8.166144000000003E-2</c:v>
                  </c:pt>
                </c:numCache>
              </c:numRef>
            </c:plus>
            <c:minus>
              <c:numRef>
                <c:f>'Calculations 1'!$M$61:$M$63</c:f>
                <c:numCache>
                  <c:formatCode>General</c:formatCode>
                  <c:ptCount val="3"/>
                  <c:pt idx="0">
                    <c:v>0.15353855999999999</c:v>
                  </c:pt>
                  <c:pt idx="1">
                    <c:v>0.15353855999999999</c:v>
                  </c:pt>
                  <c:pt idx="2">
                    <c:v>0.15353855999999999</c:v>
                  </c:pt>
                </c:numCache>
              </c:numRef>
            </c:minus>
            <c:spPr>
              <a:noFill/>
              <a:ln w="12700" cap="flat" cmpd="sng" algn="ctr">
                <a:solidFill>
                  <a:schemeClr val="tx1">
                    <a:lumMod val="65000"/>
                    <a:lumOff val="35000"/>
                  </a:schemeClr>
                </a:solidFill>
                <a:round/>
              </a:ln>
              <a:effectLst/>
            </c:spPr>
          </c:errBars>
          <c:errBars>
            <c:errDir val="x"/>
            <c:errBarType val="both"/>
            <c:errValType val="cust"/>
            <c:noEndCap val="0"/>
            <c:plus>
              <c:numRef>
                <c:f>'Calculations 1'!$L$61:$L$63</c:f>
                <c:numCache>
                  <c:formatCode>General</c:formatCode>
                  <c:ptCount val="3"/>
                  <c:pt idx="0">
                    <c:v>9.2433115903999994</c:v>
                  </c:pt>
                  <c:pt idx="1">
                    <c:v>12.620622463999997</c:v>
                  </c:pt>
                  <c:pt idx="2">
                    <c:v>15.499817062399998</c:v>
                  </c:pt>
                </c:numCache>
              </c:numRef>
            </c:plus>
            <c:minus>
              <c:numRef>
                <c:f>'Calculations 1'!$J$61:$J$63</c:f>
                <c:numCache>
                  <c:formatCode>General</c:formatCode>
                  <c:ptCount val="3"/>
                  <c:pt idx="0">
                    <c:v>2.8679684096</c:v>
                  </c:pt>
                  <c:pt idx="1">
                    <c:v>5.5333775359999997</c:v>
                  </c:pt>
                  <c:pt idx="2">
                    <c:v>6.2323429376000004</c:v>
                  </c:pt>
                </c:numCache>
              </c:numRef>
            </c:minus>
            <c:spPr>
              <a:noFill/>
              <a:ln w="12700" cap="flat" cmpd="sng" algn="ctr">
                <a:solidFill>
                  <a:schemeClr val="tx1">
                    <a:lumMod val="65000"/>
                    <a:lumOff val="35000"/>
                  </a:schemeClr>
                </a:solidFill>
                <a:round/>
              </a:ln>
              <a:effectLst/>
            </c:spPr>
          </c:errBars>
          <c:xVal>
            <c:numRef>
              <c:f>'Calculations 1'!$K$61:$K$63</c:f>
              <c:numCache>
                <c:formatCode>0</c:formatCode>
                <c:ptCount val="3"/>
                <c:pt idx="0">
                  <c:v>12.3552484096</c:v>
                </c:pt>
                <c:pt idx="1">
                  <c:v>16.969777536000002</c:v>
                </c:pt>
                <c:pt idx="2">
                  <c:v>16.7873829376</c:v>
                </c:pt>
              </c:numCache>
            </c:numRef>
          </c:xVal>
          <c:yVal>
            <c:numRef>
              <c:f>'Calculations 1'!$N$61:$N$63</c:f>
              <c:numCache>
                <c:formatCode>0%</c:formatCode>
                <c:ptCount val="3"/>
                <c:pt idx="0">
                  <c:v>0.23193856000000002</c:v>
                </c:pt>
                <c:pt idx="1">
                  <c:v>0.23193856000000002</c:v>
                </c:pt>
                <c:pt idx="2">
                  <c:v>0.23193856000000002</c:v>
                </c:pt>
              </c:numCache>
            </c:numRef>
          </c:yVal>
          <c:smooth val="0"/>
          <c:extLst>
            <c:ext xmlns:c15="http://schemas.microsoft.com/office/drawing/2012/chart" uri="{02D57815-91ED-43cb-92C2-25804820EDAC}">
              <c15:datalabelsRange>
                <c15:f>'Calculations 1'!$C$61:$C$63</c15:f>
                <c15:dlblRangeCache>
                  <c:ptCount val="3"/>
                  <c:pt idx="0">
                    <c:v>1</c:v>
                  </c:pt>
                  <c:pt idx="1">
                    <c:v>2</c:v>
                  </c:pt>
                  <c:pt idx="2">
                    <c:v>3</c:v>
                  </c:pt>
                </c15:dlblRangeCache>
              </c15:datalabelsRange>
            </c:ext>
            <c:ext xmlns:c16="http://schemas.microsoft.com/office/drawing/2014/chart" uri="{C3380CC4-5D6E-409C-BE32-E72D297353CC}">
              <c16:uniqueId val="{00000007-4D93-4708-BDCB-8D8CAE06B251}"/>
            </c:ext>
          </c:extLst>
        </c:ser>
        <c:ser>
          <c:idx val="1"/>
          <c:order val="2"/>
          <c:tx>
            <c:strRef>
              <c:f>'Calculations 1'!$C$37</c:f>
              <c:strCache>
                <c:ptCount val="1"/>
                <c:pt idx="0">
                  <c:v>One test: PCR</c:v>
                </c:pt>
              </c:strCache>
            </c:strRef>
          </c:tx>
          <c:spPr>
            <a:ln w="25400" cap="rnd">
              <a:noFill/>
              <a:round/>
            </a:ln>
            <a:effectLst/>
          </c:spPr>
          <c:marker>
            <c:symbol val="circle"/>
            <c:size val="13"/>
            <c:spPr>
              <a:solidFill>
                <a:srgbClr val="FF0000"/>
              </a:solidFill>
              <a:ln w="9525">
                <a:solidFill>
                  <a:schemeClr val="tx1"/>
                </a:solidFill>
              </a:ln>
              <a:effectLst/>
            </c:spPr>
          </c:marker>
          <c:dLbls>
            <c:dLbl>
              <c:idx val="0"/>
              <c:layout>
                <c:manualLayout>
                  <c:x val="-3.3632599527807082E-2"/>
                  <c:y val="-2.0165580253402867E-2"/>
                </c:manualLayout>
              </c:layout>
              <c:tx>
                <c:rich>
                  <a:bodyPr/>
                  <a:lstStyle/>
                  <a:p>
                    <a:fld id="{F2A62FEF-7311-4EA9-8872-67C03008EA4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4D93-4708-BDCB-8D8CAE06B251}"/>
                </c:ext>
              </c:extLst>
            </c:dLbl>
            <c:dLbl>
              <c:idx val="1"/>
              <c:layout>
                <c:manualLayout>
                  <c:x val="-4.1396236969229561E-2"/>
                  <c:y val="-1.6504731223302503E-2"/>
                </c:manualLayout>
              </c:layout>
              <c:tx>
                <c:rich>
                  <a:bodyPr/>
                  <a:lstStyle/>
                  <a:p>
                    <a:fld id="{BD692877-FA18-40A1-BE65-D34AE6C257D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4D93-4708-BDCB-8D8CAE06B251}"/>
                </c:ext>
              </c:extLst>
            </c:dLbl>
            <c:dLbl>
              <c:idx val="2"/>
              <c:layout>
                <c:manualLayout>
                  <c:x val="-3.5959547082066633E-2"/>
                  <c:y val="-1.6846422647624322E-2"/>
                </c:manualLayout>
              </c:layout>
              <c:tx>
                <c:rich>
                  <a:bodyPr/>
                  <a:lstStyle/>
                  <a:p>
                    <a:fld id="{C3752B74-0655-43BD-BA42-1019BBFB17D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4D93-4708-BDCB-8D8CAE06B251}"/>
                </c:ext>
              </c:extLst>
            </c:dLbl>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errBars>
            <c:errDir val="y"/>
            <c:errBarType val="both"/>
            <c:errValType val="cust"/>
            <c:noEndCap val="0"/>
            <c:plus>
              <c:numRef>
                <c:f>'Calculations 1'!$U$61:$U$63</c:f>
                <c:numCache>
                  <c:formatCode>General</c:formatCode>
                  <c:ptCount val="3"/>
                  <c:pt idx="0">
                    <c:v>2.0000000000000018E-2</c:v>
                  </c:pt>
                  <c:pt idx="1">
                    <c:v>2.0000000000000018E-2</c:v>
                  </c:pt>
                  <c:pt idx="2">
                    <c:v>2.0000000000000018E-2</c:v>
                  </c:pt>
                </c:numCache>
              </c:numRef>
            </c:plus>
            <c:minus>
              <c:numRef>
                <c:f>'Calculations 1'!$S$61:$S$63</c:f>
                <c:numCache>
                  <c:formatCode>General</c:formatCode>
                  <c:ptCount val="3"/>
                  <c:pt idx="0">
                    <c:v>2.0000000000000018E-2</c:v>
                  </c:pt>
                  <c:pt idx="1">
                    <c:v>2.0000000000000018E-2</c:v>
                  </c:pt>
                  <c:pt idx="2">
                    <c:v>2.0000000000000018E-2</c:v>
                  </c:pt>
                </c:numCache>
              </c:numRef>
            </c:minus>
            <c:spPr>
              <a:noFill/>
              <a:ln w="9525" cap="flat" cmpd="sng" algn="ctr">
                <a:solidFill>
                  <a:schemeClr val="tx1">
                    <a:lumMod val="65000"/>
                    <a:lumOff val="35000"/>
                  </a:schemeClr>
                </a:solidFill>
                <a:round/>
              </a:ln>
              <a:effectLst/>
            </c:spPr>
          </c:errBars>
          <c:errBars>
            <c:errDir val="x"/>
            <c:errBarType val="both"/>
            <c:errValType val="cust"/>
            <c:noEndCap val="0"/>
            <c:plus>
              <c:numRef>
                <c:f>'Calculations 1'!$R$61:$R$63</c:f>
                <c:numCache>
                  <c:formatCode>General</c:formatCode>
                  <c:ptCount val="3"/>
                  <c:pt idx="0">
                    <c:v>5.8946000000000005</c:v>
                  </c:pt>
                  <c:pt idx="1">
                    <c:v>11.190999999999999</c:v>
                  </c:pt>
                  <c:pt idx="2">
                    <c:v>15.2616</c:v>
                  </c:pt>
                </c:numCache>
              </c:numRef>
            </c:plus>
            <c:minus>
              <c:numRef>
                <c:f>'Calculations 1'!$P$61:$P$63</c:f>
                <c:numCache>
                  <c:formatCode>General</c:formatCode>
                  <c:ptCount val="3"/>
                  <c:pt idx="0">
                    <c:v>2.2223999999999999</c:v>
                  </c:pt>
                  <c:pt idx="1">
                    <c:v>6.1040000000000001</c:v>
                  </c:pt>
                  <c:pt idx="2">
                    <c:v>7.0464000000000002</c:v>
                  </c:pt>
                </c:numCache>
              </c:numRef>
            </c:minus>
            <c:spPr>
              <a:noFill/>
              <a:ln w="12700" cap="flat" cmpd="sng" algn="ctr">
                <a:solidFill>
                  <a:schemeClr val="tx1">
                    <a:lumMod val="65000"/>
                    <a:lumOff val="35000"/>
                  </a:schemeClr>
                </a:solidFill>
                <a:round/>
              </a:ln>
              <a:effectLst/>
            </c:spPr>
          </c:errBars>
          <c:xVal>
            <c:numRef>
              <c:f>'Calculations 1'!$Q$61:$Q$63</c:f>
              <c:numCache>
                <c:formatCode>0</c:formatCode>
                <c:ptCount val="3"/>
                <c:pt idx="0">
                  <c:v>8.7564000000000011</c:v>
                </c:pt>
                <c:pt idx="1">
                  <c:v>14.774000000000001</c:v>
                </c:pt>
                <c:pt idx="2">
                  <c:v>14.8584</c:v>
                </c:pt>
              </c:numCache>
            </c:numRef>
          </c:xVal>
          <c:yVal>
            <c:numRef>
              <c:f>'Calculations 1'!$T$61:$T$63</c:f>
              <c:numCache>
                <c:formatCode>0%</c:formatCode>
                <c:ptCount val="3"/>
                <c:pt idx="0">
                  <c:v>4.0000000000000036E-2</c:v>
                </c:pt>
                <c:pt idx="1">
                  <c:v>4.0000000000000036E-2</c:v>
                </c:pt>
                <c:pt idx="2">
                  <c:v>4.0000000000000036E-2</c:v>
                </c:pt>
              </c:numCache>
            </c:numRef>
          </c:yVal>
          <c:smooth val="0"/>
          <c:extLst>
            <c:ext xmlns:c15="http://schemas.microsoft.com/office/drawing/2012/chart" uri="{02D57815-91ED-43cb-92C2-25804820EDAC}">
              <c15:datalabelsRange>
                <c15:f>'Calculations 1'!$C$61:$C$63</c15:f>
                <c15:dlblRangeCache>
                  <c:ptCount val="3"/>
                  <c:pt idx="0">
                    <c:v>1</c:v>
                  </c:pt>
                  <c:pt idx="1">
                    <c:v>2</c:v>
                  </c:pt>
                  <c:pt idx="2">
                    <c:v>3</c:v>
                  </c:pt>
                </c15:dlblRangeCache>
              </c15:datalabelsRange>
            </c:ext>
            <c:ext xmlns:c16="http://schemas.microsoft.com/office/drawing/2014/chart" uri="{C3380CC4-5D6E-409C-BE32-E72D297353CC}">
              <c16:uniqueId val="{0000000B-4D93-4708-BDCB-8D8CAE06B251}"/>
            </c:ext>
          </c:extLst>
        </c:ser>
        <c:ser>
          <c:idx val="6"/>
          <c:order val="3"/>
          <c:tx>
            <c:strRef>
              <c:f>'Calculations 1'!$C$38</c:f>
              <c:strCache>
                <c:ptCount val="1"/>
                <c:pt idx="0">
                  <c:v>One test: culture </c:v>
                </c:pt>
              </c:strCache>
            </c:strRef>
          </c:tx>
          <c:spPr>
            <a:ln w="25400" cap="rnd">
              <a:noFill/>
              <a:round/>
            </a:ln>
            <a:effectLst/>
          </c:spPr>
          <c:marker>
            <c:symbol val="triangle"/>
            <c:size val="13"/>
            <c:spPr>
              <a:solidFill>
                <a:srgbClr val="FF0000"/>
              </a:solidFill>
              <a:ln w="9525">
                <a:solidFill>
                  <a:schemeClr val="tx1"/>
                </a:solidFill>
              </a:ln>
              <a:effectLst/>
            </c:spPr>
          </c:marker>
          <c:dLbls>
            <c:dLbl>
              <c:idx val="0"/>
              <c:layout>
                <c:manualLayout>
                  <c:x val="-3.0360219452259075E-2"/>
                  <c:y val="-1.9139440098097718E-2"/>
                </c:manualLayout>
              </c:layout>
              <c:tx>
                <c:rich>
                  <a:bodyPr/>
                  <a:lstStyle/>
                  <a:p>
                    <a:fld id="{A8B7443C-E4E7-45A0-A7B6-287CD7701EA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4D93-4708-BDCB-8D8CAE06B251}"/>
                </c:ext>
              </c:extLst>
            </c:dLbl>
            <c:dLbl>
              <c:idx val="1"/>
              <c:layout>
                <c:manualLayout>
                  <c:x val="-4.3457287917012082E-2"/>
                  <c:y val="-1.7404335917996495E-2"/>
                </c:manualLayout>
              </c:layout>
              <c:tx>
                <c:rich>
                  <a:bodyPr/>
                  <a:lstStyle/>
                  <a:p>
                    <a:fld id="{479F1865-695D-4978-8034-993B04992C3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4D93-4708-BDCB-8D8CAE06B251}"/>
                </c:ext>
              </c:extLst>
            </c:dLbl>
            <c:dLbl>
              <c:idx val="2"/>
              <c:layout>
                <c:manualLayout>
                  <c:x val="-3.5074399219097295E-2"/>
                  <c:y val="-1.7049701636692768E-2"/>
                </c:manualLayout>
              </c:layout>
              <c:tx>
                <c:rich>
                  <a:bodyPr/>
                  <a:lstStyle/>
                  <a:p>
                    <a:fld id="{C6C9BD7A-4276-4533-84ED-6F00B35940F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4D93-4708-BDCB-8D8CAE06B251}"/>
                </c:ext>
              </c:extLst>
            </c:dLbl>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errBars>
            <c:errDir val="y"/>
            <c:errBarType val="both"/>
            <c:errValType val="cust"/>
            <c:noEndCap val="0"/>
            <c:plus>
              <c:numRef>
                <c:f>'Calculations 1'!$AA$61:$AA$63</c:f>
                <c:numCache>
                  <c:formatCode>General</c:formatCode>
                  <c:ptCount val="3"/>
                  <c:pt idx="0">
                    <c:v>7.8400000000000039E-2</c:v>
                  </c:pt>
                  <c:pt idx="1">
                    <c:v>7.8400000000000025E-2</c:v>
                  </c:pt>
                  <c:pt idx="2">
                    <c:v>7.8400000000000025E-2</c:v>
                  </c:pt>
                </c:numCache>
              </c:numRef>
            </c:plus>
            <c:minus>
              <c:numRef>
                <c:f>'Calculations 1'!$Y$61:$Y$63</c:f>
                <c:numCache>
                  <c:formatCode>General</c:formatCode>
                  <c:ptCount val="3"/>
                  <c:pt idx="0">
                    <c:v>0.2016</c:v>
                  </c:pt>
                  <c:pt idx="1">
                    <c:v>0.2016</c:v>
                  </c:pt>
                  <c:pt idx="2">
                    <c:v>0.2016</c:v>
                  </c:pt>
                </c:numCache>
              </c:numRef>
            </c:minus>
            <c:spPr>
              <a:noFill/>
              <a:ln w="12700" cap="flat" cmpd="sng" algn="ctr">
                <a:solidFill>
                  <a:schemeClr val="tx1">
                    <a:lumMod val="65000"/>
                    <a:lumOff val="35000"/>
                  </a:schemeClr>
                </a:solidFill>
                <a:round/>
              </a:ln>
              <a:effectLst/>
            </c:spPr>
          </c:errBars>
          <c:errBars>
            <c:errDir val="x"/>
            <c:errBarType val="both"/>
            <c:errValType val="cust"/>
            <c:noEndCap val="0"/>
            <c:plus>
              <c:numRef>
                <c:f>'Calculations 1'!$X$61:$X$63</c:f>
                <c:numCache>
                  <c:formatCode>General</c:formatCode>
                  <c:ptCount val="3"/>
                  <c:pt idx="0">
                    <c:v>4.7425439999999996</c:v>
                  </c:pt>
                  <c:pt idx="1">
                    <c:v>6.717039999999999</c:v>
                  </c:pt>
                  <c:pt idx="2">
                    <c:v>8.5264639999999989</c:v>
                  </c:pt>
                </c:numCache>
              </c:numRef>
            </c:plus>
            <c:minus>
              <c:numRef>
                <c:f>'Calculations 1'!$V$61:$V$63</c:f>
                <c:numCache>
                  <c:formatCode>General</c:formatCode>
                  <c:ptCount val="3"/>
                  <c:pt idx="0">
                    <c:v>1.5074559999999999</c:v>
                  </c:pt>
                  <c:pt idx="1">
                    <c:v>2.9929600000000001</c:v>
                  </c:pt>
                  <c:pt idx="2">
                    <c:v>3.4255360000000001</c:v>
                  </c:pt>
                </c:numCache>
              </c:numRef>
            </c:minus>
            <c:spPr>
              <a:noFill/>
              <a:ln w="12700" cap="flat" cmpd="sng" algn="ctr">
                <a:solidFill>
                  <a:schemeClr val="tx1">
                    <a:lumMod val="65000"/>
                    <a:lumOff val="35000"/>
                  </a:schemeClr>
                </a:solidFill>
                <a:round/>
              </a:ln>
              <a:effectLst/>
            </c:spPr>
          </c:errBars>
          <c:xVal>
            <c:numRef>
              <c:f>'Calculations 1'!$W$61:$W$63</c:f>
              <c:numCache>
                <c:formatCode>0</c:formatCode>
                <c:ptCount val="3"/>
                <c:pt idx="0">
                  <c:v>8.833456</c:v>
                </c:pt>
                <c:pt idx="1">
                  <c:v>11.622959999999999</c:v>
                </c:pt>
                <c:pt idx="2">
                  <c:v>11.093536</c:v>
                </c:pt>
              </c:numCache>
            </c:numRef>
          </c:xVal>
          <c:yVal>
            <c:numRef>
              <c:f>'Calculations 1'!$Z$61:$Z$63</c:f>
              <c:numCache>
                <c:formatCode>0%</c:formatCode>
                <c:ptCount val="3"/>
                <c:pt idx="0">
                  <c:v>0.48160000000000003</c:v>
                </c:pt>
                <c:pt idx="1">
                  <c:v>0.48160000000000003</c:v>
                </c:pt>
                <c:pt idx="2">
                  <c:v>0.48160000000000003</c:v>
                </c:pt>
              </c:numCache>
            </c:numRef>
          </c:yVal>
          <c:smooth val="0"/>
          <c:extLst>
            <c:ext xmlns:c15="http://schemas.microsoft.com/office/drawing/2012/chart" uri="{02D57815-91ED-43cb-92C2-25804820EDAC}">
              <c15:datalabelsRange>
                <c15:f>'Calculations 1'!$C$61:$C$63</c15:f>
                <c15:dlblRangeCache>
                  <c:ptCount val="3"/>
                  <c:pt idx="0">
                    <c:v>1</c:v>
                  </c:pt>
                  <c:pt idx="1">
                    <c:v>2</c:v>
                  </c:pt>
                  <c:pt idx="2">
                    <c:v>3</c:v>
                  </c:pt>
                </c15:dlblRangeCache>
              </c15:datalabelsRange>
            </c:ext>
            <c:ext xmlns:c16="http://schemas.microsoft.com/office/drawing/2014/chart" uri="{C3380CC4-5D6E-409C-BE32-E72D297353CC}">
              <c16:uniqueId val="{0000000F-4D93-4708-BDCB-8D8CAE06B251}"/>
            </c:ext>
          </c:extLst>
        </c:ser>
        <c:ser>
          <c:idx val="2"/>
          <c:order val="4"/>
          <c:tx>
            <c:strRef>
              <c:f>'Calculations 1'!$C$39</c:f>
              <c:strCache>
                <c:ptCount val="1"/>
                <c:pt idx="0">
                  <c:v>14 days after onset</c:v>
                </c:pt>
              </c:strCache>
            </c:strRef>
          </c:tx>
          <c:spPr>
            <a:ln w="25400" cap="rnd">
              <a:noFill/>
              <a:round/>
            </a:ln>
            <a:effectLst/>
          </c:spPr>
          <c:marker>
            <c:symbol val="circle"/>
            <c:size val="13"/>
            <c:spPr>
              <a:solidFill>
                <a:schemeClr val="accent3"/>
              </a:solidFill>
              <a:ln w="9525">
                <a:solidFill>
                  <a:schemeClr val="tx1"/>
                </a:solidFill>
              </a:ln>
              <a:effectLst/>
            </c:spPr>
          </c:marker>
          <c:dLbls>
            <c:dLbl>
              <c:idx val="0"/>
              <c:layout>
                <c:manualLayout>
                  <c:x val="-2.8119421593360758E-2"/>
                  <c:y val="-3.0941041631993769E-2"/>
                </c:manualLayout>
              </c:layout>
              <c:tx>
                <c:rich>
                  <a:bodyPr/>
                  <a:lstStyle/>
                  <a:p>
                    <a:fld id="{4CC19952-165B-4CEA-B5E0-9354CE9B03C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4D93-4708-BDCB-8D8CAE06B251}"/>
                </c:ext>
              </c:extLst>
            </c:dLbl>
            <c:dLbl>
              <c:idx val="1"/>
              <c:layout>
                <c:manualLayout>
                  <c:x val="-3.1668064418636087E-2"/>
                  <c:y val="-2.7145586889281776E-2"/>
                </c:manualLayout>
              </c:layout>
              <c:tx>
                <c:rich>
                  <a:bodyPr/>
                  <a:lstStyle/>
                  <a:p>
                    <a:fld id="{5A2F822A-AA60-405D-881B-1AFAEED1BDF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4D93-4708-BDCB-8D8CAE06B251}"/>
                </c:ext>
              </c:extLst>
            </c:dLbl>
            <c:dLbl>
              <c:idx val="2"/>
              <c:layout>
                <c:manualLayout>
                  <c:x val="-3.4071399378011367E-2"/>
                  <c:y val="-1.7269577936479198E-2"/>
                </c:manualLayout>
              </c:layout>
              <c:tx>
                <c:rich>
                  <a:bodyPr/>
                  <a:lstStyle/>
                  <a:p>
                    <a:fld id="{0F5D6098-69A3-4D8D-9EBA-4AAD079779E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4D93-4708-BDCB-8D8CAE06B251}"/>
                </c:ext>
              </c:extLst>
            </c:dLbl>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errBars>
            <c:errDir val="y"/>
            <c:errBarType val="both"/>
            <c:errValType val="cust"/>
            <c:noEndCap val="0"/>
            <c:plus>
              <c:numRef>
                <c:f>'Calculations 1'!$AG$61:$AG$63</c:f>
                <c:numCache>
                  <c:formatCode>General</c:formatCode>
                  <c:ptCount val="3"/>
                  <c:pt idx="0">
                    <c:v>3.2926829268292684E-2</c:v>
                  </c:pt>
                  <c:pt idx="1">
                    <c:v>0.16463414634146339</c:v>
                  </c:pt>
                  <c:pt idx="2">
                    <c:v>0.29622344610542878</c:v>
                  </c:pt>
                </c:numCache>
              </c:numRef>
            </c:plus>
            <c:minus>
              <c:numRef>
                <c:f>'Calculations 1'!$AE$61:$AE$63</c:f>
                <c:numCache>
                  <c:formatCode>General</c:formatCode>
                  <c:ptCount val="3"/>
                  <c:pt idx="0">
                    <c:v>1.8595825426944969E-2</c:v>
                  </c:pt>
                  <c:pt idx="1">
                    <c:v>9.2979127134724837E-2</c:v>
                  </c:pt>
                  <c:pt idx="2">
                    <c:v>7.4383301707779875E-2</c:v>
                  </c:pt>
                </c:numCache>
              </c:numRef>
            </c:minus>
            <c:spPr>
              <a:noFill/>
              <a:ln w="12700" cap="flat" cmpd="sng" algn="ctr">
                <a:solidFill>
                  <a:schemeClr val="tx1">
                    <a:lumMod val="65000"/>
                    <a:lumOff val="35000"/>
                  </a:schemeClr>
                </a:solidFill>
                <a:round/>
              </a:ln>
              <a:effectLst/>
            </c:spPr>
          </c:errBars>
          <c:errBars>
            <c:errDir val="x"/>
            <c:errBarType val="both"/>
            <c:errValType val="cust"/>
            <c:noEndCap val="0"/>
            <c:plus>
              <c:numRef>
                <c:f>'Calculations 1'!$AD$61:$AD$63</c:f>
                <c:numCache>
                  <c:formatCode>General</c:formatCode>
                  <c:ptCount val="3"/>
                  <c:pt idx="0">
                    <c:v>0</c:v>
                  </c:pt>
                  <c:pt idx="1">
                    <c:v>0</c:v>
                  </c:pt>
                  <c:pt idx="2">
                    <c:v>0</c:v>
                  </c:pt>
                </c:numCache>
              </c:numRef>
            </c:plus>
            <c:minus>
              <c:numRef>
                <c:f>'Calculations 1'!$AB$61:$AB$63</c:f>
                <c:numCache>
                  <c:formatCode>General</c:formatCode>
                  <c:ptCount val="3"/>
                  <c:pt idx="0">
                    <c:v>0</c:v>
                  </c:pt>
                  <c:pt idx="1">
                    <c:v>0</c:v>
                  </c:pt>
                  <c:pt idx="2">
                    <c:v>0</c:v>
                  </c:pt>
                </c:numCache>
              </c:numRef>
            </c:minus>
            <c:spPr>
              <a:noFill/>
              <a:ln w="9525" cap="flat" cmpd="sng" algn="ctr">
                <a:solidFill>
                  <a:schemeClr val="tx1">
                    <a:lumMod val="65000"/>
                    <a:lumOff val="35000"/>
                  </a:schemeClr>
                </a:solidFill>
                <a:round/>
              </a:ln>
              <a:effectLst/>
            </c:spPr>
          </c:errBars>
          <c:xVal>
            <c:numRef>
              <c:f>'Calculations 1'!$AC$61:$AC$63</c:f>
              <c:numCache>
                <c:formatCode>0</c:formatCode>
                <c:ptCount val="3"/>
                <c:pt idx="0">
                  <c:v>14</c:v>
                </c:pt>
                <c:pt idx="1">
                  <c:v>14</c:v>
                </c:pt>
                <c:pt idx="2">
                  <c:v>14</c:v>
                </c:pt>
              </c:numCache>
            </c:numRef>
          </c:xVal>
          <c:yVal>
            <c:numRef>
              <c:f>'Calculations 1'!$AF$61:$AF$63</c:f>
              <c:numCache>
                <c:formatCode>0%</c:formatCode>
                <c:ptCount val="3"/>
                <c:pt idx="0">
                  <c:v>2.7419354838709678E-2</c:v>
                </c:pt>
                <c:pt idx="1">
                  <c:v>0.13709677419354838</c:v>
                </c:pt>
                <c:pt idx="2">
                  <c:v>0.10967741935483871</c:v>
                </c:pt>
              </c:numCache>
            </c:numRef>
          </c:yVal>
          <c:smooth val="0"/>
          <c:extLst>
            <c:ext xmlns:c15="http://schemas.microsoft.com/office/drawing/2012/chart" uri="{02D57815-91ED-43cb-92C2-25804820EDAC}">
              <c15:datalabelsRange>
                <c15:f>'Calculations 1'!$C$61:$C$63</c15:f>
                <c15:dlblRangeCache>
                  <c:ptCount val="3"/>
                  <c:pt idx="0">
                    <c:v>1</c:v>
                  </c:pt>
                  <c:pt idx="1">
                    <c:v>2</c:v>
                  </c:pt>
                  <c:pt idx="2">
                    <c:v>3</c:v>
                  </c:pt>
                </c15:dlblRangeCache>
              </c15:datalabelsRange>
            </c:ext>
            <c:ext xmlns:c16="http://schemas.microsoft.com/office/drawing/2014/chart" uri="{C3380CC4-5D6E-409C-BE32-E72D297353CC}">
              <c16:uniqueId val="{00000013-4D93-4708-BDCB-8D8CAE06B251}"/>
            </c:ext>
          </c:extLst>
        </c:ser>
        <c:ser>
          <c:idx val="3"/>
          <c:order val="5"/>
          <c:tx>
            <c:strRef>
              <c:f>'Calculations 1'!$C$27</c:f>
              <c:strCache>
                <c:ptCount val="1"/>
                <c:pt idx="0">
                  <c:v>7 days following beginning treatment</c:v>
                </c:pt>
              </c:strCache>
            </c:strRef>
          </c:tx>
          <c:spPr>
            <a:ln w="25400" cap="rnd">
              <a:noFill/>
              <a:round/>
            </a:ln>
            <a:effectLst/>
          </c:spPr>
          <c:marker>
            <c:symbol val="circle"/>
            <c:size val="13"/>
            <c:spPr>
              <a:solidFill>
                <a:schemeClr val="accent4"/>
              </a:solidFill>
              <a:ln w="9525">
                <a:solidFill>
                  <a:schemeClr val="tx1"/>
                </a:solidFill>
              </a:ln>
              <a:effectLst/>
            </c:spPr>
          </c:marker>
          <c:dLbls>
            <c:dLbl>
              <c:idx val="0"/>
              <c:layout>
                <c:manualLayout>
                  <c:x val="-2.8119421593360758E-2"/>
                  <c:y val="-2.5139596325994936E-2"/>
                </c:manualLayout>
              </c:layout>
              <c:tx>
                <c:rich>
                  <a:bodyPr/>
                  <a:lstStyle/>
                  <a:p>
                    <a:fld id="{7437D8A7-5C99-422B-A303-584CE46955F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4D93-4708-BDCB-8D8CAE06B251}"/>
                </c:ext>
              </c:extLst>
            </c:dLbl>
            <c:dLbl>
              <c:idx val="1"/>
              <c:layout>
                <c:manualLayout>
                  <c:x val="-3.6283614861345834E-2"/>
                  <c:y val="-1.5677301989895812E-2"/>
                </c:manualLayout>
              </c:layout>
              <c:tx>
                <c:rich>
                  <a:bodyPr/>
                  <a:lstStyle/>
                  <a:p>
                    <a:fld id="{68D66714-1F4F-47AF-9BD4-ED82CC34714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4D93-4708-BDCB-8D8CAE06B251}"/>
                </c:ext>
              </c:extLst>
            </c:dLbl>
            <c:dLbl>
              <c:idx val="2"/>
              <c:layout>
                <c:manualLayout>
                  <c:x val="-3.4749224375975836E-2"/>
                  <c:y val="-1.9531532530196138E-2"/>
                </c:manualLayout>
              </c:layout>
              <c:tx>
                <c:rich>
                  <a:bodyPr/>
                  <a:lstStyle/>
                  <a:p>
                    <a:fld id="{1374EDA7-A96C-42AF-94B5-5FA4FC83776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4D93-4708-BDCB-8D8CAE06B251}"/>
                </c:ext>
              </c:extLst>
            </c:dLbl>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errBars>
            <c:errDir val="y"/>
            <c:errBarType val="both"/>
            <c:errValType val="cust"/>
            <c:noEndCap val="0"/>
            <c:plus>
              <c:numRef>
                <c:f>'Calculations 1'!$AM$61:$AM$63</c:f>
                <c:numCache>
                  <c:formatCode>General</c:formatCode>
                  <c:ptCount val="3"/>
                  <c:pt idx="0">
                    <c:v>0</c:v>
                  </c:pt>
                  <c:pt idx="1">
                    <c:v>0</c:v>
                  </c:pt>
                  <c:pt idx="2">
                    <c:v>0</c:v>
                  </c:pt>
                </c:numCache>
              </c:numRef>
            </c:plus>
            <c:minus>
              <c:numRef>
                <c:f>'Calculations 1'!$AK$61:$AK$63</c:f>
                <c:numCache>
                  <c:formatCode>General</c:formatCode>
                  <c:ptCount val="3"/>
                  <c:pt idx="0">
                    <c:v>0</c:v>
                  </c:pt>
                  <c:pt idx="1">
                    <c:v>0</c:v>
                  </c:pt>
                  <c:pt idx="2">
                    <c:v>0</c:v>
                  </c:pt>
                </c:numCache>
              </c:numRef>
            </c:minus>
            <c:spPr>
              <a:noFill/>
              <a:ln w="9525" cap="flat" cmpd="sng" algn="ctr">
                <a:solidFill>
                  <a:schemeClr val="tx1">
                    <a:lumMod val="65000"/>
                    <a:lumOff val="35000"/>
                  </a:schemeClr>
                </a:solidFill>
                <a:round/>
              </a:ln>
              <a:effectLst/>
            </c:spPr>
          </c:errBars>
          <c:errBars>
            <c:errDir val="x"/>
            <c:errBarType val="both"/>
            <c:errValType val="cust"/>
            <c:noEndCap val="0"/>
            <c:plus>
              <c:numRef>
                <c:f>'Calculations 1'!$AJ$61:$AJ$63</c:f>
                <c:numCache>
                  <c:formatCode>General</c:formatCode>
                  <c:ptCount val="3"/>
                  <c:pt idx="0">
                    <c:v>0</c:v>
                  </c:pt>
                  <c:pt idx="1">
                    <c:v>0</c:v>
                  </c:pt>
                  <c:pt idx="2">
                    <c:v>0</c:v>
                  </c:pt>
                </c:numCache>
              </c:numRef>
            </c:plus>
            <c:minus>
              <c:numRef>
                <c:f>'Calculations 1'!$AH$61:$AH$63</c:f>
                <c:numCache>
                  <c:formatCode>General</c:formatCode>
                  <c:ptCount val="3"/>
                  <c:pt idx="0">
                    <c:v>0</c:v>
                  </c:pt>
                  <c:pt idx="1">
                    <c:v>0</c:v>
                  </c:pt>
                  <c:pt idx="2">
                    <c:v>0</c:v>
                  </c:pt>
                </c:numCache>
              </c:numRef>
            </c:minus>
            <c:spPr>
              <a:noFill/>
              <a:ln w="9525" cap="flat" cmpd="sng" algn="ctr">
                <a:solidFill>
                  <a:schemeClr val="tx1">
                    <a:lumMod val="65000"/>
                    <a:lumOff val="35000"/>
                  </a:schemeClr>
                </a:solidFill>
                <a:round/>
              </a:ln>
              <a:effectLst/>
            </c:spPr>
          </c:errBars>
          <c:xVal>
            <c:numRef>
              <c:f>'Calculations 1'!$AI$61:$AI$63</c:f>
              <c:numCache>
                <c:formatCode>0</c:formatCode>
                <c:ptCount val="3"/>
                <c:pt idx="0">
                  <c:v>7.0000000000000009</c:v>
                </c:pt>
                <c:pt idx="1">
                  <c:v>6.9999999999999991</c:v>
                </c:pt>
                <c:pt idx="2">
                  <c:v>7</c:v>
                </c:pt>
              </c:numCache>
            </c:numRef>
          </c:xVal>
          <c:yVal>
            <c:numRef>
              <c:f>'Calculations 1'!$AL$61:$AL$63</c:f>
              <c:numCache>
                <c:formatCode>0%</c:formatCode>
                <c:ptCount val="3"/>
                <c:pt idx="0">
                  <c:v>6.6666666666666666E-2</c:v>
                </c:pt>
                <c:pt idx="1">
                  <c:v>0.33333333333333331</c:v>
                </c:pt>
                <c:pt idx="2">
                  <c:v>0.3666666666666667</c:v>
                </c:pt>
              </c:numCache>
            </c:numRef>
          </c:yVal>
          <c:smooth val="0"/>
          <c:extLst>
            <c:ext xmlns:c15="http://schemas.microsoft.com/office/drawing/2012/chart" uri="{02D57815-91ED-43cb-92C2-25804820EDAC}">
              <c15:datalabelsRange>
                <c15:f>'Calculations 1'!$C$61:$C$63</c15:f>
                <c15:dlblRangeCache>
                  <c:ptCount val="3"/>
                  <c:pt idx="0">
                    <c:v>1</c:v>
                  </c:pt>
                  <c:pt idx="1">
                    <c:v>2</c:v>
                  </c:pt>
                  <c:pt idx="2">
                    <c:v>3</c:v>
                  </c:pt>
                </c15:dlblRangeCache>
              </c15:datalabelsRange>
            </c:ext>
            <c:ext xmlns:c16="http://schemas.microsoft.com/office/drawing/2014/chart" uri="{C3380CC4-5D6E-409C-BE32-E72D297353CC}">
              <c16:uniqueId val="{00000017-4D93-4708-BDCB-8D8CAE06B251}"/>
            </c:ext>
          </c:extLst>
        </c:ser>
        <c:ser>
          <c:idx val="4"/>
          <c:order val="6"/>
          <c:tx>
            <c:strRef>
              <c:f>'Calculations 1'!$C$28</c:f>
              <c:strCache>
                <c:ptCount val="1"/>
                <c:pt idx="0">
                  <c:v>24 hours free of symptoms and no tests</c:v>
                </c:pt>
              </c:strCache>
            </c:strRef>
          </c:tx>
          <c:spPr>
            <a:ln w="25400" cap="rnd">
              <a:noFill/>
              <a:round/>
            </a:ln>
            <a:effectLst/>
          </c:spPr>
          <c:marker>
            <c:symbol val="circle"/>
            <c:size val="13"/>
            <c:spPr>
              <a:solidFill>
                <a:srgbClr val="7030A0"/>
              </a:solidFill>
              <a:ln w="9525">
                <a:solidFill>
                  <a:schemeClr val="tx1"/>
                </a:solidFill>
              </a:ln>
              <a:effectLst/>
            </c:spPr>
          </c:marker>
          <c:dLbls>
            <c:dLbl>
              <c:idx val="0"/>
              <c:layout>
                <c:manualLayout>
                  <c:x val="-3.4510199228215473E-2"/>
                  <c:y val="-2.1271966121995715E-2"/>
                </c:manualLayout>
              </c:layout>
              <c:tx>
                <c:rich>
                  <a:bodyPr/>
                  <a:lstStyle/>
                  <a:p>
                    <a:fld id="{9E977847-1F3A-48B5-ABBA-8454784A083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4D93-4708-BDCB-8D8CAE06B251}"/>
                </c:ext>
              </c:extLst>
            </c:dLbl>
            <c:dLbl>
              <c:idx val="1"/>
              <c:layout>
                <c:manualLayout>
                  <c:x val="-3.4510199228215521E-2"/>
                  <c:y val="-2.1271966121995715E-2"/>
                </c:manualLayout>
              </c:layout>
              <c:tx>
                <c:rich>
                  <a:bodyPr/>
                  <a:lstStyle/>
                  <a:p>
                    <a:fld id="{9D462FEF-5DE6-4924-9A9F-FB1610E3E59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4D93-4708-BDCB-8D8CAE06B251}"/>
                </c:ext>
              </c:extLst>
            </c:dLbl>
            <c:dLbl>
              <c:idx val="2"/>
              <c:layout>
                <c:manualLayout>
                  <c:x val="-3.323204370124453E-2"/>
                  <c:y val="-1.9338151019996069E-2"/>
                </c:manualLayout>
              </c:layout>
              <c:tx>
                <c:rich>
                  <a:bodyPr/>
                  <a:lstStyle/>
                  <a:p>
                    <a:fld id="{5177155F-0FE4-4CCB-B5CF-C0747419E3F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A-4D93-4708-BDCB-8D8CAE06B251}"/>
                </c:ext>
              </c:extLst>
            </c:dLbl>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errBars>
            <c:errDir val="y"/>
            <c:errBarType val="both"/>
            <c:errValType val="cust"/>
            <c:noEndCap val="0"/>
            <c:plus>
              <c:numRef>
                <c:f>'Calculations 1'!$AS$61:$AS$63</c:f>
                <c:numCache>
                  <c:formatCode>General</c:formatCode>
                  <c:ptCount val="3"/>
                  <c:pt idx="0">
                    <c:v>1.4132309815421767E-2</c:v>
                  </c:pt>
                  <c:pt idx="1">
                    <c:v>7.0661549077108837E-2</c:v>
                  </c:pt>
                  <c:pt idx="2">
                    <c:v>7.0165602898050697E-2</c:v>
                  </c:pt>
                </c:numCache>
              </c:numRef>
            </c:plus>
            <c:minus>
              <c:numRef>
                <c:f>'Calculations 1'!$AQ$61:$AQ$63</c:f>
                <c:numCache>
                  <c:formatCode>General</c:formatCode>
                  <c:ptCount val="3"/>
                  <c:pt idx="0">
                    <c:v>5.4985337243401766E-2</c:v>
                  </c:pt>
                  <c:pt idx="1">
                    <c:v>0.27492668621700878</c:v>
                  </c:pt>
                  <c:pt idx="2">
                    <c:v>0.35630498533724342</c:v>
                  </c:pt>
                </c:numCache>
              </c:numRef>
            </c:minus>
            <c:spPr>
              <a:noFill/>
              <a:ln w="12700" cap="flat" cmpd="sng" algn="ctr">
                <a:solidFill>
                  <a:schemeClr val="tx1">
                    <a:lumMod val="65000"/>
                    <a:lumOff val="35000"/>
                  </a:schemeClr>
                </a:solidFill>
                <a:round/>
              </a:ln>
              <a:effectLst/>
            </c:spPr>
          </c:errBars>
          <c:errBars>
            <c:errDir val="x"/>
            <c:errBarType val="both"/>
            <c:errValType val="cust"/>
            <c:noEndCap val="0"/>
            <c:plus>
              <c:numRef>
                <c:f>'Calculations 1'!$AP$61:$AP$63</c:f>
                <c:numCache>
                  <c:formatCode>General</c:formatCode>
                  <c:ptCount val="3"/>
                  <c:pt idx="0">
                    <c:v>4.0600000000000005</c:v>
                  </c:pt>
                  <c:pt idx="1">
                    <c:v>14.7</c:v>
                  </c:pt>
                  <c:pt idx="2">
                    <c:v>19.12</c:v>
                  </c:pt>
                </c:numCache>
              </c:numRef>
            </c:plus>
            <c:minus>
              <c:numRef>
                <c:f>'Calculations 1'!$AN$61:$AN$63</c:f>
                <c:numCache>
                  <c:formatCode>General</c:formatCode>
                  <c:ptCount val="3"/>
                  <c:pt idx="0">
                    <c:v>2.99</c:v>
                  </c:pt>
                  <c:pt idx="1">
                    <c:v>4.55</c:v>
                  </c:pt>
                  <c:pt idx="2">
                    <c:v>4.58</c:v>
                  </c:pt>
                </c:numCache>
              </c:numRef>
            </c:minus>
            <c:spPr>
              <a:noFill/>
              <a:ln w="12700" cap="flat" cmpd="sng" algn="ctr">
                <a:solidFill>
                  <a:schemeClr val="tx1">
                    <a:lumMod val="65000"/>
                    <a:lumOff val="35000"/>
                  </a:schemeClr>
                </a:solidFill>
                <a:round/>
              </a:ln>
              <a:effectLst/>
            </c:spPr>
          </c:errBars>
          <c:xVal>
            <c:numRef>
              <c:f>'Calculations 1'!$AO$61:$AO$63</c:f>
              <c:numCache>
                <c:formatCode>0</c:formatCode>
                <c:ptCount val="3"/>
                <c:pt idx="0">
                  <c:v>5.7899999999999991</c:v>
                </c:pt>
                <c:pt idx="1">
                  <c:v>7.05</c:v>
                </c:pt>
                <c:pt idx="2">
                  <c:v>6.88</c:v>
                </c:pt>
              </c:numCache>
            </c:numRef>
          </c:xVal>
          <c:yVal>
            <c:numRef>
              <c:f>'Calculations 1'!$AR$61:$AR$63</c:f>
              <c:numCache>
                <c:formatCode>0%</c:formatCode>
                <c:ptCount val="3"/>
                <c:pt idx="0">
                  <c:v>5.4985337243401766E-2</c:v>
                </c:pt>
                <c:pt idx="1">
                  <c:v>0.27492668621700878</c:v>
                </c:pt>
                <c:pt idx="2">
                  <c:v>0.35630498533724342</c:v>
                </c:pt>
              </c:numCache>
            </c:numRef>
          </c:yVal>
          <c:smooth val="0"/>
          <c:extLst>
            <c:ext xmlns:c15="http://schemas.microsoft.com/office/drawing/2012/chart" uri="{02D57815-91ED-43cb-92C2-25804820EDAC}">
              <c15:datalabelsRange>
                <c15:f>'Calculations 1'!$C$61:$C$63</c15:f>
                <c15:dlblRangeCache>
                  <c:ptCount val="3"/>
                  <c:pt idx="0">
                    <c:v>1</c:v>
                  </c:pt>
                  <c:pt idx="1">
                    <c:v>2</c:v>
                  </c:pt>
                  <c:pt idx="2">
                    <c:v>3</c:v>
                  </c:pt>
                </c15:dlblRangeCache>
              </c15:datalabelsRange>
            </c:ext>
            <c:ext xmlns:c16="http://schemas.microsoft.com/office/drawing/2014/chart" uri="{C3380CC4-5D6E-409C-BE32-E72D297353CC}">
              <c16:uniqueId val="{0000001B-4D93-4708-BDCB-8D8CAE06B251}"/>
            </c:ext>
          </c:extLst>
        </c:ser>
        <c:dLbls>
          <c:showLegendKey val="0"/>
          <c:showVal val="0"/>
          <c:showCatName val="0"/>
          <c:showSerName val="0"/>
          <c:showPercent val="0"/>
          <c:showBubbleSize val="0"/>
        </c:dLbls>
        <c:axId val="120159600"/>
        <c:axId val="180313552"/>
      </c:scatterChart>
      <c:valAx>
        <c:axId val="120159600"/>
        <c:scaling>
          <c:orientation val="minMax"/>
          <c:max val="35"/>
          <c:min val="0"/>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b="1"/>
                  <a:t>Aggregated childcare-days lost</a:t>
                </a:r>
              </a:p>
            </c:rich>
          </c:tx>
          <c:layout>
            <c:manualLayout>
              <c:xMode val="edge"/>
              <c:yMode val="edge"/>
              <c:x val="0.3743054306614213"/>
              <c:y val="0.82985822698999867"/>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0" sourceLinked="1"/>
        <c:majorTickMark val="out"/>
        <c:minorTickMark val="out"/>
        <c:tickLblPos val="nextTo"/>
        <c:spPr>
          <a:noFill/>
          <a:ln w="12700"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80313552"/>
        <c:crosses val="autoZero"/>
        <c:crossBetween val="midCat"/>
        <c:majorUnit val="10"/>
        <c:minorUnit val="5"/>
      </c:valAx>
      <c:valAx>
        <c:axId val="180313552"/>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b="1"/>
                  <a:t>Probability that an infectious child will be readmitted to childcare </a:t>
                </a:r>
              </a:p>
            </c:rich>
          </c:tx>
          <c:layout>
            <c:manualLayout>
              <c:xMode val="edge"/>
              <c:yMode val="edge"/>
              <c:x val="2.4494277034783143E-3"/>
              <c:y val="2.2519399187589859E-2"/>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0%" sourceLinked="0"/>
        <c:majorTickMark val="out"/>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20159600"/>
        <c:crosses val="autoZero"/>
        <c:crossBetween val="midCat"/>
        <c:minorUnit val="5.000000000000001E-2"/>
      </c:valAx>
      <c:spPr>
        <a:noFill/>
        <a:ln w="25400">
          <a:noFill/>
        </a:ln>
        <a:effectLst/>
      </c:spPr>
    </c:plotArea>
    <c:legend>
      <c:legendPos val="b"/>
      <c:layout>
        <c:manualLayout>
          <c:xMode val="edge"/>
          <c:yMode val="edge"/>
          <c:x val="5.8995048093121741E-2"/>
          <c:y val="0.89566016869262988"/>
          <c:w val="0.92243618858852683"/>
          <c:h val="0.10433983130737016"/>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en-US" sz="1600" b="1"/>
              <a:t>Aggregated childcare days lost in outbreak (daycare, n=45)</a:t>
            </a:r>
          </a:p>
        </c:rich>
      </c:tx>
      <c:layout>
        <c:manualLayout>
          <c:xMode val="edge"/>
          <c:yMode val="edge"/>
          <c:x val="0.35934961634699952"/>
          <c:y val="1.8710654574417953E-3"/>
        </c:manualLayout>
      </c:layout>
      <c:overlay val="0"/>
      <c:spPr>
        <a:noFill/>
        <a:ln>
          <a:noFill/>
        </a:ln>
        <a:effectLst/>
      </c:spPr>
      <c:txPr>
        <a:bodyPr rot="0" spcFirstLastPara="1" vertOverflow="ellipsis" vert="horz" wrap="square" anchor="ctr" anchorCtr="1"/>
        <a:lstStyle/>
        <a:p>
          <a:pPr>
            <a:defRPr sz="1600" b="1"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0.2370600763049979"/>
          <c:y val="5.7954159198040082E-2"/>
          <c:w val="0.72725990100973237"/>
          <c:h val="0.84641110377351292"/>
        </c:manualLayout>
      </c:layout>
      <c:barChart>
        <c:barDir val="bar"/>
        <c:grouping val="clustered"/>
        <c:varyColors val="0"/>
        <c:ser>
          <c:idx val="1"/>
          <c:order val="0"/>
          <c:tx>
            <c:v>Low</c:v>
          </c:tx>
          <c:spPr>
            <a:solidFill>
              <a:schemeClr val="bg1"/>
            </a:solidFill>
            <a:ln>
              <a:solidFill>
                <a:sysClr val="windowText" lastClr="000000"/>
              </a:solidFill>
            </a:ln>
            <a:effectLst/>
          </c:spPr>
          <c:invertIfNegative val="0"/>
          <c:dLbls>
            <c:dLbl>
              <c:idx val="0"/>
              <c:layout>
                <c:manualLayout>
                  <c:x val="0.25297054466066204"/>
                  <c:y val="-6.4496295307358231E-2"/>
                </c:manualLayout>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81A-4BF5-8D7E-F3B07CA58BA2}"/>
                </c:ext>
              </c:extLst>
            </c:dLbl>
            <c:dLbl>
              <c:idx val="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81A-4BF5-8D7E-F3B07CA58BA2}"/>
                </c:ext>
              </c:extLst>
            </c:dLbl>
            <c:dLbl>
              <c:idx val="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81A-4BF5-8D7E-F3B07CA58BA2}"/>
                </c:ext>
              </c:extLst>
            </c:dLbl>
            <c:dLbl>
              <c:idx val="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81A-4BF5-8D7E-F3B07CA58BA2}"/>
                </c:ext>
              </c:extLst>
            </c:dLbl>
            <c:dLbl>
              <c:idx val="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81A-4BF5-8D7E-F3B07CA58BA2}"/>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81A-4BF5-8D7E-F3B07CA58BA2}"/>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81A-4BF5-8D7E-F3B07CA58BA2}"/>
                </c:ext>
              </c:extLst>
            </c:dLbl>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'Calculations 2'!$C$9:$C$15</c:f>
              <c:strCache>
                <c:ptCount val="7"/>
                <c:pt idx="0">
                  <c:v>Two tests: PCR</c:v>
                </c:pt>
                <c:pt idx="1">
                  <c:v>Two tests: culture</c:v>
                </c:pt>
                <c:pt idx="2">
                  <c:v>One test: PCR</c:v>
                </c:pt>
                <c:pt idx="3">
                  <c:v>One test: culture</c:v>
                </c:pt>
                <c:pt idx="4">
                  <c:v>14 days after onset</c:v>
                </c:pt>
                <c:pt idx="5">
                  <c:v>7 days after beginning Tx</c:v>
                </c:pt>
                <c:pt idx="6">
                  <c:v>24 hr symptom free</c:v>
                </c:pt>
              </c:strCache>
            </c:strRef>
          </c:cat>
          <c:val>
            <c:numRef>
              <c:f>'Calculations 2'!$P$9:$P$15</c:f>
              <c:numCache>
                <c:formatCode>0</c:formatCode>
                <c:ptCount val="7"/>
                <c:pt idx="0">
                  <c:v>84.933899999999994</c:v>
                </c:pt>
                <c:pt idx="1">
                  <c:v>106.7319</c:v>
                </c:pt>
                <c:pt idx="2">
                  <c:v>73.507500000000007</c:v>
                </c:pt>
                <c:pt idx="3">
                  <c:v>82.417500000000004</c:v>
                </c:pt>
                <c:pt idx="4">
                  <c:v>157.5</c:v>
                </c:pt>
                <c:pt idx="5">
                  <c:v>78.75</c:v>
                </c:pt>
                <c:pt idx="6">
                  <c:v>31.5</c:v>
                </c:pt>
              </c:numCache>
            </c:numRef>
          </c:val>
          <c:extLst>
            <c:ext xmlns:c16="http://schemas.microsoft.com/office/drawing/2014/chart" uri="{C3380CC4-5D6E-409C-BE32-E72D297353CC}">
              <c16:uniqueId val="{00000007-E81A-4BF5-8D7E-F3B07CA58BA2}"/>
            </c:ext>
          </c:extLst>
        </c:ser>
        <c:ser>
          <c:idx val="0"/>
          <c:order val="1"/>
          <c:tx>
            <c:v>Midpoint</c:v>
          </c:tx>
          <c:spPr>
            <a:pattFill prst="ltVert">
              <a:fgClr>
                <a:schemeClr val="tx1"/>
              </a:fgClr>
              <a:bgClr>
                <a:schemeClr val="bg1"/>
              </a:bgClr>
            </a:pattFill>
            <a:ln>
              <a:solidFill>
                <a:sysClr val="windowText" lastClr="000000"/>
              </a:solidFill>
            </a:ln>
            <a:effectLst/>
          </c:spPr>
          <c:invertIfNegative val="0"/>
          <c:dLbls>
            <c:dLbl>
              <c:idx val="0"/>
              <c:layout>
                <c:manualLayout>
                  <c:x val="0.13293999112581595"/>
                  <c:y val="1.9738466868206256E-3"/>
                </c:manualLayout>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81A-4BF5-8D7E-F3B07CA58BA2}"/>
                </c:ext>
              </c:extLst>
            </c:dLbl>
            <c:dLbl>
              <c:idx val="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81A-4BF5-8D7E-F3B07CA58BA2}"/>
                </c:ext>
              </c:extLst>
            </c:dLbl>
            <c:dLbl>
              <c:idx val="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81A-4BF5-8D7E-F3B07CA58BA2}"/>
                </c:ext>
              </c:extLst>
            </c:dLbl>
            <c:dLbl>
              <c:idx val="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81A-4BF5-8D7E-F3B07CA58BA2}"/>
                </c:ext>
              </c:extLst>
            </c:dLbl>
            <c:dLbl>
              <c:idx val="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81A-4BF5-8D7E-F3B07CA58BA2}"/>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81A-4BF5-8D7E-F3B07CA58BA2}"/>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81A-4BF5-8D7E-F3B07CA58BA2}"/>
                </c:ext>
              </c:extLst>
            </c:dLbl>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'Calculations 2'!$C$9:$C$15</c:f>
              <c:strCache>
                <c:ptCount val="7"/>
                <c:pt idx="0">
                  <c:v>Two tests: PCR</c:v>
                </c:pt>
                <c:pt idx="1">
                  <c:v>Two tests: culture</c:v>
                </c:pt>
                <c:pt idx="2">
                  <c:v>One test: PCR</c:v>
                </c:pt>
                <c:pt idx="3">
                  <c:v>One test: culture</c:v>
                </c:pt>
                <c:pt idx="4">
                  <c:v>14 days after onset</c:v>
                </c:pt>
                <c:pt idx="5">
                  <c:v>7 days after beginning Tx</c:v>
                </c:pt>
                <c:pt idx="6">
                  <c:v>24 hr symptom free</c:v>
                </c:pt>
              </c:strCache>
            </c:strRef>
          </c:cat>
          <c:val>
            <c:numRef>
              <c:f>'Calculations 2'!$Q$9:$Q$15</c:f>
              <c:numCache>
                <c:formatCode>0</c:formatCode>
                <c:ptCount val="7"/>
                <c:pt idx="0">
                  <c:v>121.91238</c:v>
                </c:pt>
                <c:pt idx="1">
                  <c:v>138.99654460799999</c:v>
                </c:pt>
                <c:pt idx="2">
                  <c:v>98.509500000000003</c:v>
                </c:pt>
                <c:pt idx="3">
                  <c:v>99.376379999999997</c:v>
                </c:pt>
                <c:pt idx="4">
                  <c:v>157.5</c:v>
                </c:pt>
                <c:pt idx="5">
                  <c:v>78.75</c:v>
                </c:pt>
                <c:pt idx="6">
                  <c:v>65.137500000000003</c:v>
                </c:pt>
              </c:numCache>
            </c:numRef>
          </c:val>
          <c:extLst>
            <c:ext xmlns:c16="http://schemas.microsoft.com/office/drawing/2014/chart" uri="{C3380CC4-5D6E-409C-BE32-E72D297353CC}">
              <c16:uniqueId val="{0000000F-E81A-4BF5-8D7E-F3B07CA58BA2}"/>
            </c:ext>
          </c:extLst>
        </c:ser>
        <c:ser>
          <c:idx val="2"/>
          <c:order val="2"/>
          <c:tx>
            <c:v>High</c:v>
          </c:tx>
          <c:spPr>
            <a:solidFill>
              <a:schemeClr val="tx1"/>
            </a:solidFill>
            <a:ln>
              <a:noFill/>
            </a:ln>
            <a:effectLst/>
          </c:spPr>
          <c:invertIfNegative val="0"/>
          <c:dLbls>
            <c:dLbl>
              <c:idx val="0"/>
              <c:layout>
                <c:manualLayout>
                  <c:x val="6.7104599029544736E-3"/>
                  <c:y val="6.4497120326387047E-2"/>
                </c:manualLayout>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81A-4BF5-8D7E-F3B07CA58BA2}"/>
                </c:ext>
              </c:extLst>
            </c:dLbl>
            <c:dLbl>
              <c:idx val="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81A-4BF5-8D7E-F3B07CA58BA2}"/>
                </c:ext>
              </c:extLst>
            </c:dLbl>
            <c:dLbl>
              <c:idx val="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81A-4BF5-8D7E-F3B07CA58BA2}"/>
                </c:ext>
              </c:extLst>
            </c:dLbl>
            <c:dLbl>
              <c:idx val="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81A-4BF5-8D7E-F3B07CA58BA2}"/>
                </c:ext>
              </c:extLst>
            </c:dLbl>
            <c:dLbl>
              <c:idx val="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81A-4BF5-8D7E-F3B07CA58BA2}"/>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81A-4BF5-8D7E-F3B07CA58BA2}"/>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E81A-4BF5-8D7E-F3B07CA58BA2}"/>
                </c:ext>
              </c:extLst>
            </c:dLbl>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'Calculations 2'!$C$9:$C$15</c:f>
              <c:strCache>
                <c:ptCount val="7"/>
                <c:pt idx="0">
                  <c:v>Two tests: PCR</c:v>
                </c:pt>
                <c:pt idx="1">
                  <c:v>Two tests: culture</c:v>
                </c:pt>
                <c:pt idx="2">
                  <c:v>One test: PCR</c:v>
                </c:pt>
                <c:pt idx="3">
                  <c:v>One test: culture</c:v>
                </c:pt>
                <c:pt idx="4">
                  <c:v>14 days after onset</c:v>
                </c:pt>
                <c:pt idx="5">
                  <c:v>7 days after beginning Tx</c:v>
                </c:pt>
                <c:pt idx="6">
                  <c:v>24 hr symptom free</c:v>
                </c:pt>
              </c:strCache>
            </c:strRef>
          </c:cat>
          <c:val>
            <c:numRef>
              <c:f>'Calculations 2'!$R$9:$R$15</c:f>
              <c:numCache>
                <c:formatCode>0</c:formatCode>
                <c:ptCount val="7"/>
                <c:pt idx="0">
                  <c:v>234.95692500000001</c:v>
                </c:pt>
                <c:pt idx="1">
                  <c:v>242.98379999999997</c:v>
                </c:pt>
                <c:pt idx="2">
                  <c:v>164.82375000000002</c:v>
                </c:pt>
                <c:pt idx="3">
                  <c:v>152.73000000000002</c:v>
                </c:pt>
                <c:pt idx="4">
                  <c:v>157.5</c:v>
                </c:pt>
                <c:pt idx="5">
                  <c:v>78.75</c:v>
                </c:pt>
                <c:pt idx="6">
                  <c:v>110.8125</c:v>
                </c:pt>
              </c:numCache>
            </c:numRef>
          </c:val>
          <c:extLst>
            <c:ext xmlns:c16="http://schemas.microsoft.com/office/drawing/2014/chart" uri="{C3380CC4-5D6E-409C-BE32-E72D297353CC}">
              <c16:uniqueId val="{00000017-E81A-4BF5-8D7E-F3B07CA58BA2}"/>
            </c:ext>
          </c:extLst>
        </c:ser>
        <c:dLbls>
          <c:showLegendKey val="0"/>
          <c:showVal val="0"/>
          <c:showCatName val="0"/>
          <c:showSerName val="0"/>
          <c:showPercent val="0"/>
          <c:showBubbleSize val="0"/>
        </c:dLbls>
        <c:gapWidth val="70"/>
        <c:axId val="122797664"/>
        <c:axId val="122659512"/>
      </c:barChart>
      <c:catAx>
        <c:axId val="122797664"/>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22659512"/>
        <c:crosses val="autoZero"/>
        <c:auto val="1"/>
        <c:lblAlgn val="ctr"/>
        <c:lblOffset val="100"/>
        <c:noMultiLvlLbl val="0"/>
      </c:catAx>
      <c:valAx>
        <c:axId val="122659512"/>
        <c:scaling>
          <c:orientation val="minMax"/>
          <c:max val="400"/>
        </c:scaling>
        <c:delete val="0"/>
        <c:axPos val="b"/>
        <c:title>
          <c:tx>
            <c:rich>
              <a:bodyPr rot="0" spcFirstLastPara="1" vertOverflow="ellipsis" vert="horz" wrap="square" anchor="ctr" anchorCtr="1"/>
              <a:lstStyle/>
              <a:p>
                <a:pPr>
                  <a:defRPr sz="16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b="1"/>
                  <a:t>Total childcare days lost during an outbreak</a:t>
                </a:r>
              </a:p>
            </c:rich>
          </c:tx>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22797664"/>
        <c:crosses val="max"/>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6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orientation="portrait"/>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en-US" sz="1600" b="1" i="0" u="none" strike="noStrike" baseline="0">
                <a:effectLst/>
              </a:rPr>
              <a:t>Aggregated</a:t>
            </a:r>
            <a:r>
              <a:rPr lang="en-US" sz="1600" b="1" i="0" baseline="0">
                <a:effectLst/>
              </a:rPr>
              <a:t> </a:t>
            </a:r>
            <a:r>
              <a:rPr lang="en-US" sz="1600" b="1" i="0" u="none" strike="noStrike" baseline="0">
                <a:effectLst/>
              </a:rPr>
              <a:t>childcare </a:t>
            </a:r>
            <a:r>
              <a:rPr lang="en-US" sz="1600" b="1" i="0" baseline="0">
                <a:effectLst/>
              </a:rPr>
              <a:t>days lost in outbreak (daycare, n=45)</a:t>
            </a:r>
            <a:endParaRPr lang="en-US" sz="1600">
              <a:effectLst/>
            </a:endParaRPr>
          </a:p>
        </c:rich>
      </c:tx>
      <c:layout>
        <c:manualLayout>
          <c:xMode val="edge"/>
          <c:yMode val="edge"/>
          <c:x val="0.34427708822642206"/>
          <c:y val="0"/>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0.23759907509054895"/>
          <c:y val="6.1713759341204641E-2"/>
          <c:w val="0.7127397682976071"/>
          <c:h val="0.81695380630479719"/>
        </c:manualLayout>
      </c:layout>
      <c:barChart>
        <c:barDir val="bar"/>
        <c:grouping val="clustered"/>
        <c:varyColors val="0"/>
        <c:ser>
          <c:idx val="1"/>
          <c:order val="0"/>
          <c:spPr>
            <a:solidFill>
              <a:schemeClr val="bg1"/>
            </a:solidFill>
            <a:ln>
              <a:solidFill>
                <a:sysClr val="windowText" lastClr="000000"/>
              </a:solidFill>
            </a:ln>
            <a:effectLst/>
          </c:spPr>
          <c:invertIfNegative val="0"/>
          <c:dLbls>
            <c:dLbl>
              <c:idx val="0"/>
              <c:layout>
                <c:manualLayout>
                  <c:x val="0.29323674254239523"/>
                  <c:y val="-6.0128138768034092E-2"/>
                </c:manualLayout>
              </c:layout>
              <c:tx>
                <c:rich>
                  <a:bodyPr rot="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rich>
              </c:tx>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CBD-4414-8C0C-3EEF391365BA}"/>
                </c:ext>
              </c:extLst>
            </c:dLbl>
            <c:dLbl>
              <c:idx val="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CBD-4414-8C0C-3EEF391365BA}"/>
                </c:ext>
              </c:extLst>
            </c:dLbl>
            <c:dLbl>
              <c:idx val="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CBD-4414-8C0C-3EEF391365BA}"/>
                </c:ext>
              </c:extLst>
            </c:dLbl>
            <c:dLbl>
              <c:idx val="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CBD-4414-8C0C-3EEF391365BA}"/>
                </c:ext>
              </c:extLst>
            </c:dLbl>
            <c:dLbl>
              <c:idx val="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CBD-4414-8C0C-3EEF391365BA}"/>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CBD-4414-8C0C-3EEF391365BA}"/>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CBD-4414-8C0C-3EEF391365BA}"/>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'Calculations 2'!$C$9:$C$15</c:f>
              <c:strCache>
                <c:ptCount val="7"/>
                <c:pt idx="0">
                  <c:v>Two tests: PCR</c:v>
                </c:pt>
                <c:pt idx="1">
                  <c:v>Two tests: culture</c:v>
                </c:pt>
                <c:pt idx="2">
                  <c:v>One test: PCR</c:v>
                </c:pt>
                <c:pt idx="3">
                  <c:v>One test: culture</c:v>
                </c:pt>
                <c:pt idx="4">
                  <c:v>14 days after onset</c:v>
                </c:pt>
                <c:pt idx="5">
                  <c:v>7 days after beginning Tx</c:v>
                </c:pt>
                <c:pt idx="6">
                  <c:v>24 hr symptom free</c:v>
                </c:pt>
              </c:strCache>
            </c:strRef>
          </c:cat>
          <c:val>
            <c:numRef>
              <c:f>'Calculations 2'!$S$9:$S$15</c:f>
              <c:numCache>
                <c:formatCode>0</c:formatCode>
                <c:ptCount val="7"/>
                <c:pt idx="0">
                  <c:v>109.6695</c:v>
                </c:pt>
                <c:pt idx="1">
                  <c:v>128.65950000000001</c:v>
                </c:pt>
                <c:pt idx="2">
                  <c:v>97.537500000000009</c:v>
                </c:pt>
                <c:pt idx="3">
                  <c:v>97.087500000000006</c:v>
                </c:pt>
                <c:pt idx="4">
                  <c:v>157.5</c:v>
                </c:pt>
                <c:pt idx="5">
                  <c:v>78.75</c:v>
                </c:pt>
                <c:pt idx="6">
                  <c:v>28.125</c:v>
                </c:pt>
              </c:numCache>
            </c:numRef>
          </c:val>
          <c:extLst>
            <c:ext xmlns:c16="http://schemas.microsoft.com/office/drawing/2014/chart" uri="{C3380CC4-5D6E-409C-BE32-E72D297353CC}">
              <c16:uniqueId val="{00000007-ACBD-4414-8C0C-3EEF391365BA}"/>
            </c:ext>
          </c:extLst>
        </c:ser>
        <c:ser>
          <c:idx val="0"/>
          <c:order val="1"/>
          <c:spPr>
            <a:pattFill prst="ltVert">
              <a:fgClr>
                <a:schemeClr val="tx1"/>
              </a:fgClr>
              <a:bgClr>
                <a:schemeClr val="bg1"/>
              </a:bgClr>
            </a:pattFill>
            <a:ln>
              <a:solidFill>
                <a:sysClr val="windowText" lastClr="000000"/>
              </a:solidFill>
            </a:ln>
            <a:effectLst/>
          </c:spPr>
          <c:invertIfNegative val="0"/>
          <c:dLbls>
            <c:dLbl>
              <c:idx val="0"/>
              <c:layout>
                <c:manualLayout>
                  <c:x val="0.19027036308924167"/>
                  <c:y val="1.1951849149044048E-2"/>
                </c:manualLayout>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CBD-4414-8C0C-3EEF391365BA}"/>
                </c:ext>
              </c:extLst>
            </c:dLbl>
            <c:dLbl>
              <c:idx val="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CBD-4414-8C0C-3EEF391365BA}"/>
                </c:ext>
              </c:extLst>
            </c:dLbl>
            <c:dLbl>
              <c:idx val="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CBD-4414-8C0C-3EEF391365BA}"/>
                </c:ext>
              </c:extLst>
            </c:dLbl>
            <c:dLbl>
              <c:idx val="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CBD-4414-8C0C-3EEF391365BA}"/>
                </c:ext>
              </c:extLst>
            </c:dLbl>
            <c:dLbl>
              <c:idx val="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CBD-4414-8C0C-3EEF391365BA}"/>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CBD-4414-8C0C-3EEF391365BA}"/>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CBD-4414-8C0C-3EEF391365BA}"/>
                </c:ext>
              </c:extLst>
            </c:dLbl>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'Calculations 2'!$C$9:$C$15</c:f>
              <c:strCache>
                <c:ptCount val="7"/>
                <c:pt idx="0">
                  <c:v>Two tests: PCR</c:v>
                </c:pt>
                <c:pt idx="1">
                  <c:v>Two tests: culture</c:v>
                </c:pt>
                <c:pt idx="2">
                  <c:v>One test: PCR</c:v>
                </c:pt>
                <c:pt idx="3">
                  <c:v>One test: culture</c:v>
                </c:pt>
                <c:pt idx="4">
                  <c:v>14 days after onset</c:v>
                </c:pt>
                <c:pt idx="5">
                  <c:v>7 days after beginning Tx</c:v>
                </c:pt>
                <c:pt idx="6">
                  <c:v>24 hr symptom free</c:v>
                </c:pt>
              </c:strCache>
            </c:strRef>
          </c:cat>
          <c:val>
            <c:numRef>
              <c:f>'Calculations 2'!$T$9:$T$15</c:f>
              <c:numCache>
                <c:formatCode>0</c:formatCode>
                <c:ptCount val="7"/>
                <c:pt idx="0">
                  <c:v>192.76829999999998</c:v>
                </c:pt>
                <c:pt idx="1">
                  <c:v>190.90999728</c:v>
                </c:pt>
                <c:pt idx="2">
                  <c:v>166.20749999999998</c:v>
                </c:pt>
                <c:pt idx="3">
                  <c:v>130.75830000000002</c:v>
                </c:pt>
                <c:pt idx="4">
                  <c:v>157.5</c:v>
                </c:pt>
                <c:pt idx="5">
                  <c:v>78.75</c:v>
                </c:pt>
                <c:pt idx="6">
                  <c:v>79.3125</c:v>
                </c:pt>
              </c:numCache>
            </c:numRef>
          </c:val>
          <c:extLst>
            <c:ext xmlns:c16="http://schemas.microsoft.com/office/drawing/2014/chart" uri="{C3380CC4-5D6E-409C-BE32-E72D297353CC}">
              <c16:uniqueId val="{0000000F-ACBD-4414-8C0C-3EEF391365BA}"/>
            </c:ext>
          </c:extLst>
        </c:ser>
        <c:ser>
          <c:idx val="2"/>
          <c:order val="2"/>
          <c:spPr>
            <a:solidFill>
              <a:schemeClr val="tx1"/>
            </a:solidFill>
            <a:ln>
              <a:noFill/>
            </a:ln>
            <a:effectLst/>
          </c:spPr>
          <c:invertIfNegative val="0"/>
          <c:dLbls>
            <c:dLbl>
              <c:idx val="0"/>
              <c:layout>
                <c:manualLayout>
                  <c:x val="1.4890528291912588E-2"/>
                  <c:y val="7.8646437414265552E-2"/>
                </c:manualLayout>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CBD-4414-8C0C-3EEF391365BA}"/>
                </c:ext>
              </c:extLst>
            </c:dLbl>
            <c:dLbl>
              <c:idx val="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CBD-4414-8C0C-3EEF391365BA}"/>
                </c:ext>
              </c:extLst>
            </c:dLbl>
            <c:dLbl>
              <c:idx val="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CBD-4414-8C0C-3EEF391365BA}"/>
                </c:ext>
              </c:extLst>
            </c:dLbl>
            <c:dLbl>
              <c:idx val="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ACBD-4414-8C0C-3EEF391365BA}"/>
                </c:ext>
              </c:extLst>
            </c:dLbl>
            <c:dLbl>
              <c:idx val="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ACBD-4414-8C0C-3EEF391365BA}"/>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ACBD-4414-8C0C-3EEF391365BA}"/>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ACBD-4414-8C0C-3EEF391365BA}"/>
                </c:ext>
              </c:extLst>
            </c:dLbl>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'Calculations 2'!$C$9:$C$15</c:f>
              <c:strCache>
                <c:ptCount val="7"/>
                <c:pt idx="0">
                  <c:v>Two tests: PCR</c:v>
                </c:pt>
                <c:pt idx="1">
                  <c:v>Two tests: culture</c:v>
                </c:pt>
                <c:pt idx="2">
                  <c:v>One test: PCR</c:v>
                </c:pt>
                <c:pt idx="3">
                  <c:v>One test: culture</c:v>
                </c:pt>
                <c:pt idx="4">
                  <c:v>14 days after onset</c:v>
                </c:pt>
                <c:pt idx="5">
                  <c:v>7 days after beginning Tx</c:v>
                </c:pt>
                <c:pt idx="6">
                  <c:v>24 hr symptom free</c:v>
                </c:pt>
              </c:strCache>
            </c:strRef>
          </c:cat>
          <c:val>
            <c:numRef>
              <c:f>'Calculations 2'!$U$9:$U$15</c:f>
              <c:numCache>
                <c:formatCode>0</c:formatCode>
                <c:ptCount val="7"/>
                <c:pt idx="0">
                  <c:v>370.55137499999995</c:v>
                </c:pt>
                <c:pt idx="1">
                  <c:v>332.89199999999994</c:v>
                </c:pt>
                <c:pt idx="2">
                  <c:v>292.10624999999999</c:v>
                </c:pt>
                <c:pt idx="3">
                  <c:v>206.32499999999999</c:v>
                </c:pt>
                <c:pt idx="4">
                  <c:v>157.5</c:v>
                </c:pt>
                <c:pt idx="5">
                  <c:v>78.75</c:v>
                </c:pt>
                <c:pt idx="6">
                  <c:v>244.6875</c:v>
                </c:pt>
              </c:numCache>
            </c:numRef>
          </c:val>
          <c:extLst>
            <c:ext xmlns:c16="http://schemas.microsoft.com/office/drawing/2014/chart" uri="{C3380CC4-5D6E-409C-BE32-E72D297353CC}">
              <c16:uniqueId val="{00000017-ACBD-4414-8C0C-3EEF391365BA}"/>
            </c:ext>
          </c:extLst>
        </c:ser>
        <c:dLbls>
          <c:showLegendKey val="0"/>
          <c:showVal val="0"/>
          <c:showCatName val="0"/>
          <c:showSerName val="0"/>
          <c:showPercent val="0"/>
          <c:showBubbleSize val="0"/>
        </c:dLbls>
        <c:gapWidth val="70"/>
        <c:axId val="182296808"/>
        <c:axId val="182297200"/>
      </c:barChart>
      <c:catAx>
        <c:axId val="182296808"/>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82297200"/>
        <c:crosses val="autoZero"/>
        <c:auto val="1"/>
        <c:lblAlgn val="ctr"/>
        <c:lblOffset val="100"/>
        <c:noMultiLvlLbl val="0"/>
      </c:catAx>
      <c:valAx>
        <c:axId val="182297200"/>
        <c:scaling>
          <c:orientation val="minMax"/>
        </c:scaling>
        <c:delete val="0"/>
        <c:axPos val="b"/>
        <c:title>
          <c:tx>
            <c:rich>
              <a:bodyPr rot="0" spcFirstLastPara="1" vertOverflow="ellipsis" vert="horz" wrap="square" anchor="ctr" anchorCtr="1"/>
              <a:lstStyle/>
              <a:p>
                <a:pPr>
                  <a:defRPr sz="16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sz="1600" b="1"/>
                  <a:t>Total childcare days lost during an outbreak</a:t>
                </a:r>
              </a:p>
            </c:rich>
          </c:tx>
          <c:layout>
            <c:manualLayout>
              <c:xMode val="edge"/>
              <c:yMode val="edge"/>
              <c:x val="0.43552120226402158"/>
              <c:y val="0.95232076602004367"/>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82296808"/>
        <c:crosses val="max"/>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en-US" sz="1600" b="1" i="0" u="none" strike="noStrike" baseline="0">
                <a:effectLst/>
              </a:rPr>
              <a:t>Aggregated</a:t>
            </a:r>
            <a:r>
              <a:rPr lang="en-US" sz="1600" b="1"/>
              <a:t> </a:t>
            </a:r>
            <a:r>
              <a:rPr lang="en-US" sz="1600" b="1" i="0" u="none" strike="noStrike" baseline="0">
                <a:effectLst/>
              </a:rPr>
              <a:t>childcare </a:t>
            </a:r>
            <a:r>
              <a:rPr lang="en-US" sz="1600" b="1"/>
              <a:t>days lost in outbreak (daycare, n=45)</a:t>
            </a:r>
          </a:p>
        </c:rich>
      </c:tx>
      <c:layout>
        <c:manualLayout>
          <c:xMode val="edge"/>
          <c:yMode val="edge"/>
          <c:x val="0.31362268517499881"/>
          <c:y val="1.451325359099892E-3"/>
        </c:manualLayout>
      </c:layout>
      <c:overlay val="0"/>
      <c:spPr>
        <a:noFill/>
        <a:ln>
          <a:noFill/>
        </a:ln>
        <a:effectLst/>
      </c:spPr>
      <c:txPr>
        <a:bodyPr rot="0" spcFirstLastPara="1" vertOverflow="ellipsis" vert="horz" wrap="square" anchor="ctr" anchorCtr="1"/>
        <a:lstStyle/>
        <a:p>
          <a:pPr>
            <a:defRPr sz="1600" b="1"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0.22490741091151395"/>
          <c:y val="7.5845182814843315E-2"/>
          <c:w val="0.72327741463825346"/>
          <c:h val="0.83335274162115347"/>
        </c:manualLayout>
      </c:layout>
      <c:barChart>
        <c:barDir val="bar"/>
        <c:grouping val="clustered"/>
        <c:varyColors val="0"/>
        <c:ser>
          <c:idx val="1"/>
          <c:order val="0"/>
          <c:spPr>
            <a:solidFill>
              <a:schemeClr val="bg1">
                <a:alpha val="98000"/>
              </a:schemeClr>
            </a:solidFill>
            <a:ln>
              <a:solidFill>
                <a:sysClr val="windowText" lastClr="000000"/>
              </a:solidFill>
            </a:ln>
            <a:effectLst/>
          </c:spPr>
          <c:invertIfNegative val="0"/>
          <c:dLbls>
            <c:dLbl>
              <c:idx val="0"/>
              <c:layout>
                <c:manualLayout>
                  <c:x val="0.25150113479267799"/>
                  <c:y val="-6.0167059110567883E-2"/>
                </c:manualLayout>
              </c:layout>
              <c:tx>
                <c:rich>
                  <a:bodyPr rot="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fld id="{17C6242C-9D9F-40FE-AA9D-98F926EF1540}" type="CELLRANGE">
                      <a:rPr lang="en-US"/>
                      <a:pPr>
                        <a:defRPr sz="1400"/>
                      </a:pPr>
                      <a:t>[CELLRANGE]</a:t>
                    </a:fld>
                    <a:endParaRPr lang="en-US"/>
                  </a:p>
                </c:rich>
              </c:tx>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3D42-44F4-A6C8-82EDA67DCE55}"/>
                </c:ext>
              </c:extLst>
            </c:dLbl>
            <c:dLbl>
              <c:idx val="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42-44F4-A6C8-82EDA67DCE55}"/>
                </c:ext>
              </c:extLst>
            </c:dLbl>
            <c:dLbl>
              <c:idx val="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D42-44F4-A6C8-82EDA67DCE55}"/>
                </c:ext>
              </c:extLst>
            </c:dLbl>
            <c:dLbl>
              <c:idx val="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D42-44F4-A6C8-82EDA67DCE55}"/>
                </c:ext>
              </c:extLst>
            </c:dLbl>
            <c:dLbl>
              <c:idx val="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D42-44F4-A6C8-82EDA67DCE55}"/>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D42-44F4-A6C8-82EDA67DCE55}"/>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D42-44F4-A6C8-82EDA67DCE55}"/>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'Calculations 2'!$C$9:$C$15</c:f>
              <c:strCache>
                <c:ptCount val="7"/>
                <c:pt idx="0">
                  <c:v>Two tests: PCR</c:v>
                </c:pt>
                <c:pt idx="1">
                  <c:v>Two tests: culture</c:v>
                </c:pt>
                <c:pt idx="2">
                  <c:v>One test: PCR</c:v>
                </c:pt>
                <c:pt idx="3">
                  <c:v>One test: culture</c:v>
                </c:pt>
                <c:pt idx="4">
                  <c:v>14 days after onset</c:v>
                </c:pt>
                <c:pt idx="5">
                  <c:v>7 days after beginning Tx</c:v>
                </c:pt>
                <c:pt idx="6">
                  <c:v>24 hr symptom free</c:v>
                </c:pt>
              </c:strCache>
            </c:strRef>
          </c:cat>
          <c:val>
            <c:numRef>
              <c:f>'Calculations 2'!$V$9:$V$15</c:f>
              <c:numCache>
                <c:formatCode>0</c:formatCode>
                <c:ptCount val="7"/>
                <c:pt idx="0">
                  <c:v>100.10520000000001</c:v>
                </c:pt>
                <c:pt idx="1">
                  <c:v>118.74420000000001</c:v>
                </c:pt>
                <c:pt idx="2">
                  <c:v>87.885000000000005</c:v>
                </c:pt>
                <c:pt idx="3">
                  <c:v>86.265000000000015</c:v>
                </c:pt>
                <c:pt idx="4">
                  <c:v>157.5</c:v>
                </c:pt>
                <c:pt idx="5">
                  <c:v>78.75</c:v>
                </c:pt>
                <c:pt idx="6">
                  <c:v>25.875</c:v>
                </c:pt>
              </c:numCache>
            </c:numRef>
          </c:val>
          <c:extLst>
            <c:ext xmlns:c15="http://schemas.microsoft.com/office/drawing/2012/chart" uri="{02D57815-91ED-43cb-92C2-25804820EDAC}">
              <c15:datalabelsRange>
                <c15:f>'Calculations 2'!$X$8</c15:f>
                <c15:dlblRangeCache>
                  <c:ptCount val="1"/>
                  <c:pt idx="0">
                    <c:v>High</c:v>
                  </c:pt>
                </c15:dlblRangeCache>
              </c15:datalabelsRange>
            </c:ext>
            <c:ext xmlns:c16="http://schemas.microsoft.com/office/drawing/2014/chart" uri="{C3380CC4-5D6E-409C-BE32-E72D297353CC}">
              <c16:uniqueId val="{00000007-3D42-44F4-A6C8-82EDA67DCE55}"/>
            </c:ext>
          </c:extLst>
        </c:ser>
        <c:ser>
          <c:idx val="0"/>
          <c:order val="1"/>
          <c:spPr>
            <a:pattFill prst="ltVert">
              <a:fgClr>
                <a:schemeClr val="tx1"/>
              </a:fgClr>
              <a:bgClr>
                <a:schemeClr val="bg1"/>
              </a:bgClr>
            </a:pattFill>
            <a:ln>
              <a:solidFill>
                <a:sysClr val="windowText" lastClr="000000"/>
              </a:solidFill>
            </a:ln>
            <a:effectLst/>
          </c:spPr>
          <c:invertIfNegative val="0"/>
          <c:dLbls>
            <c:dLbl>
              <c:idx val="0"/>
              <c:layout>
                <c:manualLayout>
                  <c:x val="8.8882837557689876E-3"/>
                  <c:y val="1.0657057579279152E-2"/>
                </c:manualLayout>
              </c:layout>
              <c:tx>
                <c:rich>
                  <a:bodyPr/>
                  <a:lstStyle/>
                  <a:p>
                    <a:fld id="{AA855352-09B1-4121-A2F9-9FF0962849C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3D42-44F4-A6C8-82EDA67DCE55}"/>
                </c:ext>
              </c:extLst>
            </c:dLbl>
            <c:dLbl>
              <c:idx val="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D42-44F4-A6C8-82EDA67DCE55}"/>
                </c:ext>
              </c:extLst>
            </c:dLbl>
            <c:dLbl>
              <c:idx val="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D42-44F4-A6C8-82EDA67DCE55}"/>
                </c:ext>
              </c:extLst>
            </c:dLbl>
            <c:dLbl>
              <c:idx val="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D42-44F4-A6C8-82EDA67DCE55}"/>
                </c:ext>
              </c:extLst>
            </c:dLbl>
            <c:dLbl>
              <c:idx val="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D42-44F4-A6C8-82EDA67DCE55}"/>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D42-44F4-A6C8-82EDA67DCE55}"/>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D42-44F4-A6C8-82EDA67DCE55}"/>
                </c:ext>
              </c:extLst>
            </c:dLbl>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'Calculations 2'!$C$9:$C$15</c:f>
              <c:strCache>
                <c:ptCount val="7"/>
                <c:pt idx="0">
                  <c:v>Two tests: PCR</c:v>
                </c:pt>
                <c:pt idx="1">
                  <c:v>Two tests: culture</c:v>
                </c:pt>
                <c:pt idx="2">
                  <c:v>One test: PCR</c:v>
                </c:pt>
                <c:pt idx="3">
                  <c:v>One test: culture</c:v>
                </c:pt>
                <c:pt idx="4">
                  <c:v>14 days after onset</c:v>
                </c:pt>
                <c:pt idx="5">
                  <c:v>7 days after beginning Tx</c:v>
                </c:pt>
                <c:pt idx="6">
                  <c:v>24 hr symptom free</c:v>
                </c:pt>
              </c:strCache>
            </c:strRef>
          </c:cat>
          <c:val>
            <c:numRef>
              <c:f>'Calculations 2'!$W$9:$W$15</c:f>
              <c:numCache>
                <c:formatCode>0</c:formatCode>
                <c:ptCount val="7"/>
                <c:pt idx="0">
                  <c:v>194.31828000000002</c:v>
                </c:pt>
                <c:pt idx="1">
                  <c:v>188.858058048</c:v>
                </c:pt>
                <c:pt idx="2">
                  <c:v>167.15700000000001</c:v>
                </c:pt>
                <c:pt idx="3">
                  <c:v>124.80228000000001</c:v>
                </c:pt>
                <c:pt idx="4">
                  <c:v>157.5</c:v>
                </c:pt>
                <c:pt idx="5">
                  <c:v>78.75</c:v>
                </c:pt>
                <c:pt idx="6">
                  <c:v>77.400000000000006</c:v>
                </c:pt>
              </c:numCache>
            </c:numRef>
          </c:val>
          <c:extLst>
            <c:ext xmlns:c15="http://schemas.microsoft.com/office/drawing/2012/chart" uri="{02D57815-91ED-43cb-92C2-25804820EDAC}">
              <c15:datalabelsRange>
                <c15:f>'Calculations 2'!$T$8</c15:f>
                <c15:dlblRangeCache>
                  <c:ptCount val="1"/>
                  <c:pt idx="0">
                    <c:v>Midpoint</c:v>
                  </c:pt>
                </c15:dlblRangeCache>
              </c15:datalabelsRange>
            </c:ext>
            <c:ext xmlns:c16="http://schemas.microsoft.com/office/drawing/2014/chart" uri="{C3380CC4-5D6E-409C-BE32-E72D297353CC}">
              <c16:uniqueId val="{0000000F-3D42-44F4-A6C8-82EDA67DCE55}"/>
            </c:ext>
          </c:extLst>
        </c:ser>
        <c:ser>
          <c:idx val="2"/>
          <c:order val="2"/>
          <c:spPr>
            <a:solidFill>
              <a:schemeClr val="tx1"/>
            </a:solidFill>
            <a:ln>
              <a:noFill/>
            </a:ln>
            <a:effectLst/>
          </c:spPr>
          <c:invertIfNegative val="0"/>
          <c:dLbls>
            <c:dLbl>
              <c:idx val="0"/>
              <c:layout>
                <c:manualLayout>
                  <c:x val="-0.48927171379867096"/>
                  <c:y val="7.7195863187552782E-2"/>
                </c:manualLayout>
              </c:layout>
              <c:tx>
                <c:rich>
                  <a:bodyPr/>
                  <a:lstStyle/>
                  <a:p>
                    <a:fld id="{EBF852D8-2CC5-4EF1-97A6-59D4AC6658D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3D42-44F4-A6C8-82EDA67DCE55}"/>
                </c:ext>
              </c:extLst>
            </c:dLbl>
            <c:dLbl>
              <c:idx val="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D42-44F4-A6C8-82EDA67DCE55}"/>
                </c:ext>
              </c:extLst>
            </c:dLbl>
            <c:dLbl>
              <c:idx val="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D42-44F4-A6C8-82EDA67DCE55}"/>
                </c:ext>
              </c:extLst>
            </c:dLbl>
            <c:dLbl>
              <c:idx val="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D42-44F4-A6C8-82EDA67DCE55}"/>
                </c:ext>
              </c:extLst>
            </c:dLbl>
            <c:dLbl>
              <c:idx val="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D42-44F4-A6C8-82EDA67DCE55}"/>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D42-44F4-A6C8-82EDA67DCE55}"/>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D42-44F4-A6C8-82EDA67DCE55}"/>
                </c:ext>
              </c:extLst>
            </c:dLbl>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'Calculations 2'!$C$9:$C$15</c:f>
              <c:strCache>
                <c:ptCount val="7"/>
                <c:pt idx="0">
                  <c:v>Two tests: PCR</c:v>
                </c:pt>
                <c:pt idx="1">
                  <c:v>Two tests: culture</c:v>
                </c:pt>
                <c:pt idx="2">
                  <c:v>One test: PCR</c:v>
                </c:pt>
                <c:pt idx="3">
                  <c:v>One test: culture</c:v>
                </c:pt>
                <c:pt idx="4">
                  <c:v>14 days after onset</c:v>
                </c:pt>
                <c:pt idx="5">
                  <c:v>7 days after beginning Tx</c:v>
                </c:pt>
                <c:pt idx="6">
                  <c:v>24 hr symptom free</c:v>
                </c:pt>
              </c:strCache>
            </c:strRef>
          </c:cat>
          <c:val>
            <c:numRef>
              <c:f>'Calculations 2'!$X$9:$X$15</c:f>
              <c:numCache>
                <c:formatCode>0</c:formatCode>
                <c:ptCount val="7"/>
                <c:pt idx="0">
                  <c:v>420.94349999999997</c:v>
                </c:pt>
                <c:pt idx="1">
                  <c:v>363.23099999999994</c:v>
                </c:pt>
                <c:pt idx="2">
                  <c:v>338.85</c:v>
                </c:pt>
                <c:pt idx="3">
                  <c:v>220.72499999999999</c:v>
                </c:pt>
                <c:pt idx="4">
                  <c:v>157.5</c:v>
                </c:pt>
                <c:pt idx="5">
                  <c:v>78.75</c:v>
                </c:pt>
                <c:pt idx="6">
                  <c:v>292.5</c:v>
                </c:pt>
              </c:numCache>
            </c:numRef>
          </c:val>
          <c:extLst>
            <c:ext xmlns:c15="http://schemas.microsoft.com/office/drawing/2012/chart" uri="{02D57815-91ED-43cb-92C2-25804820EDAC}">
              <c15:datalabelsRange>
                <c15:f>'Calculations 2'!$V$8</c15:f>
                <c15:dlblRangeCache>
                  <c:ptCount val="1"/>
                  <c:pt idx="0">
                    <c:v>Low</c:v>
                  </c:pt>
                </c15:dlblRangeCache>
              </c15:datalabelsRange>
            </c:ext>
            <c:ext xmlns:c16="http://schemas.microsoft.com/office/drawing/2014/chart" uri="{C3380CC4-5D6E-409C-BE32-E72D297353CC}">
              <c16:uniqueId val="{00000017-3D42-44F4-A6C8-82EDA67DCE55}"/>
            </c:ext>
          </c:extLst>
        </c:ser>
        <c:dLbls>
          <c:showLegendKey val="0"/>
          <c:showVal val="0"/>
          <c:showCatName val="0"/>
          <c:showSerName val="0"/>
          <c:showPercent val="0"/>
          <c:showBubbleSize val="0"/>
        </c:dLbls>
        <c:gapWidth val="70"/>
        <c:axId val="182299552"/>
        <c:axId val="182299944"/>
      </c:barChart>
      <c:catAx>
        <c:axId val="182299552"/>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82299944"/>
        <c:crosses val="autoZero"/>
        <c:auto val="1"/>
        <c:lblAlgn val="ctr"/>
        <c:lblOffset val="100"/>
        <c:noMultiLvlLbl val="0"/>
      </c:catAx>
      <c:valAx>
        <c:axId val="182299944"/>
        <c:scaling>
          <c:orientation val="minMax"/>
        </c:scaling>
        <c:delete val="0"/>
        <c:axPos val="b"/>
        <c:title>
          <c:tx>
            <c:rich>
              <a:bodyPr rot="0" spcFirstLastPara="1" vertOverflow="ellipsis" vert="horz" wrap="square" anchor="ctr" anchorCtr="1"/>
              <a:lstStyle/>
              <a:p>
                <a:pPr>
                  <a:defRPr sz="16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sz="1600" b="1"/>
                  <a:t>Total childcare days lost during an outbreak</a:t>
                </a:r>
              </a:p>
            </c:rich>
          </c:tx>
          <c:layout>
            <c:manualLayout>
              <c:xMode val="edge"/>
              <c:yMode val="edge"/>
              <c:x val="0.43429589998999618"/>
              <c:y val="0.95187980894276336"/>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82299552"/>
        <c:crosses val="max"/>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156472</xdr:colOff>
      <xdr:row>8</xdr:row>
      <xdr:rowOff>179886</xdr:rowOff>
    </xdr:from>
    <xdr:to>
      <xdr:col>13</xdr:col>
      <xdr:colOff>714374</xdr:colOff>
      <xdr:row>47</xdr:row>
      <xdr:rowOff>140073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595833</xdr:colOff>
      <xdr:row>22</xdr:row>
      <xdr:rowOff>161765</xdr:rowOff>
    </xdr:from>
    <xdr:to>
      <xdr:col>6</xdr:col>
      <xdr:colOff>56029</xdr:colOff>
      <xdr:row>24</xdr:row>
      <xdr:rowOff>166002</xdr:rowOff>
    </xdr:to>
    <xdr:sp macro="" textlink="">
      <xdr:nvSpPr>
        <xdr:cNvPr id="3" name="TextBox 1"/>
        <xdr:cNvSpPr txBox="1"/>
      </xdr:nvSpPr>
      <xdr:spPr>
        <a:xfrm>
          <a:off x="7165282" y="4616103"/>
          <a:ext cx="1421225" cy="396443"/>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200">
              <a:latin typeface="Times New Roman" panose="02020603050405020304" pitchFamily="18" charset="0"/>
              <a:cs typeface="Times New Roman" panose="02020603050405020304" pitchFamily="18" charset="0"/>
            </a:rPr>
            <a:t>14 days after symptom onset</a:t>
          </a:r>
        </a:p>
      </xdr:txBody>
    </xdr:sp>
    <xdr:clientData/>
  </xdr:twoCellAnchor>
  <xdr:twoCellAnchor>
    <xdr:from>
      <xdr:col>2</xdr:col>
      <xdr:colOff>1538263</xdr:colOff>
      <xdr:row>43</xdr:row>
      <xdr:rowOff>125303</xdr:rowOff>
    </xdr:from>
    <xdr:to>
      <xdr:col>9</xdr:col>
      <xdr:colOff>1036545</xdr:colOff>
      <xdr:row>47</xdr:row>
      <xdr:rowOff>125303</xdr:rowOff>
    </xdr:to>
    <xdr:sp macro="" textlink="">
      <xdr:nvSpPr>
        <xdr:cNvPr id="4" name="TextBox 3"/>
        <xdr:cNvSpPr txBox="1"/>
      </xdr:nvSpPr>
      <xdr:spPr>
        <a:xfrm>
          <a:off x="2238631" y="8697803"/>
          <a:ext cx="10718171" cy="7844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Times New Roman" panose="02020603050405020304" pitchFamily="18" charset="0"/>
              <a:cs typeface="Times New Roman" panose="02020603050405020304" pitchFamily="18" charset="0"/>
            </a:rPr>
            <a:t>A: Immediate,</a:t>
          </a:r>
          <a:r>
            <a:rPr lang="en-US" sz="1400" baseline="0">
              <a:latin typeface="Times New Roman" panose="02020603050405020304" pitchFamily="18" charset="0"/>
              <a:cs typeface="Times New Roman" panose="02020603050405020304" pitchFamily="18" charset="0"/>
            </a:rPr>
            <a:t> effective treatment; B: </a:t>
          </a:r>
          <a:r>
            <a:rPr lang="en-US" sz="1400">
              <a:solidFill>
                <a:schemeClr val="dk1"/>
              </a:solidFill>
              <a:effectLst/>
              <a:latin typeface="Times New Roman" panose="02020603050405020304" pitchFamily="18" charset="0"/>
              <a:ea typeface="+mn-ea"/>
              <a:cs typeface="Times New Roman" panose="02020603050405020304" pitchFamily="18" charset="0"/>
            </a:rPr>
            <a:t>Effective treatment after diagnosis; C: Ineffective treatment; D: No</a:t>
          </a:r>
          <a:r>
            <a:rPr lang="en-US" sz="1400" baseline="0">
              <a:solidFill>
                <a:schemeClr val="dk1"/>
              </a:solidFill>
              <a:effectLst/>
              <a:latin typeface="Times New Roman" panose="02020603050405020304" pitchFamily="18" charset="0"/>
              <a:ea typeface="+mn-ea"/>
              <a:cs typeface="Times New Roman" panose="02020603050405020304" pitchFamily="18" charset="0"/>
            </a:rPr>
            <a:t> treatment.</a:t>
          </a:r>
          <a:endParaRPr lang="en-US" sz="1400">
            <a:latin typeface="Times New Roman" panose="02020603050405020304" pitchFamily="18" charset="0"/>
            <a:cs typeface="Times New Roman" panose="02020603050405020304" pitchFamily="18" charset="0"/>
          </a:endParaRPr>
        </a:p>
      </xdr:txBody>
    </xdr:sp>
    <xdr:clientData/>
  </xdr:twoCellAnchor>
  <xdr:twoCellAnchor>
    <xdr:from>
      <xdr:col>2</xdr:col>
      <xdr:colOff>4512468</xdr:colOff>
      <xdr:row>24</xdr:row>
      <xdr:rowOff>130968</xdr:rowOff>
    </xdr:from>
    <xdr:to>
      <xdr:col>2</xdr:col>
      <xdr:colOff>4857750</xdr:colOff>
      <xdr:row>26</xdr:row>
      <xdr:rowOff>107156</xdr:rowOff>
    </xdr:to>
    <xdr:sp macro="" textlink="">
      <xdr:nvSpPr>
        <xdr:cNvPr id="5" name="TextBox 4"/>
        <xdr:cNvSpPr txBox="1"/>
      </xdr:nvSpPr>
      <xdr:spPr>
        <a:xfrm>
          <a:off x="5214937" y="4845843"/>
          <a:ext cx="34528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Times New Roman" panose="02020603050405020304" pitchFamily="18" charset="0"/>
              <a:cs typeface="Times New Roman" panose="02020603050405020304" pitchFamily="18" charset="0"/>
            </a:rPr>
            <a:t>D</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0.43016</cdr:x>
      <cdr:y>0.61153</cdr:y>
    </cdr:from>
    <cdr:to>
      <cdr:x>0.4635</cdr:x>
      <cdr:y>0.64377</cdr:y>
    </cdr:to>
    <cdr:sp macro="" textlink="">
      <cdr:nvSpPr>
        <cdr:cNvPr id="20" name="TextBox 1"/>
        <cdr:cNvSpPr txBox="1"/>
      </cdr:nvSpPr>
      <cdr:spPr>
        <a:xfrm xmlns:a="http://schemas.openxmlformats.org/drawingml/2006/main">
          <a:off x="6741430" y="4652672"/>
          <a:ext cx="522499" cy="2452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Times New Roman" panose="02020603050405020304" pitchFamily="18" charset="0"/>
              <a:cs typeface="Times New Roman" panose="02020603050405020304" pitchFamily="18" charset="0"/>
            </a:rPr>
            <a:t>D</a:t>
          </a:r>
        </a:p>
      </cdr:txBody>
    </cdr:sp>
  </cdr:relSizeAnchor>
  <cdr:relSizeAnchor xmlns:cdr="http://schemas.openxmlformats.org/drawingml/2006/chartDrawing">
    <cdr:from>
      <cdr:x>0.21327</cdr:x>
      <cdr:y>0.05942</cdr:y>
    </cdr:from>
    <cdr:to>
      <cdr:x>0.24661</cdr:x>
      <cdr:y>0.11144</cdr:y>
    </cdr:to>
    <cdr:sp macro="" textlink="">
      <cdr:nvSpPr>
        <cdr:cNvPr id="22" name="TextBox 1"/>
        <cdr:cNvSpPr txBox="1"/>
      </cdr:nvSpPr>
      <cdr:spPr>
        <a:xfrm xmlns:a="http://schemas.openxmlformats.org/drawingml/2006/main">
          <a:off x="2095222" y="392557"/>
          <a:ext cx="327537" cy="3436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Times New Roman" panose="02020603050405020304" pitchFamily="18" charset="0"/>
              <a:cs typeface="Times New Roman" panose="02020603050405020304" pitchFamily="18" charset="0"/>
            </a:rPr>
            <a:t>C</a:t>
          </a:r>
        </a:p>
      </cdr:txBody>
    </cdr:sp>
  </cdr:relSizeAnchor>
  <cdr:relSizeAnchor xmlns:cdr="http://schemas.openxmlformats.org/drawingml/2006/chartDrawing">
    <cdr:from>
      <cdr:x>0.97608</cdr:x>
      <cdr:y>0.31362</cdr:y>
    </cdr:from>
    <cdr:to>
      <cdr:x>0.9818</cdr:x>
      <cdr:y>0.34638</cdr:y>
    </cdr:to>
    <cdr:grpSp>
      <cdr:nvGrpSpPr>
        <cdr:cNvPr id="2" name="Group 1"/>
        <cdr:cNvGrpSpPr/>
      </cdr:nvGrpSpPr>
      <cdr:grpSpPr>
        <a:xfrm xmlns:a="http://schemas.openxmlformats.org/drawingml/2006/main">
          <a:off x="15315423" y="2317554"/>
          <a:ext cx="89751" cy="242086"/>
          <a:chOff x="10262713" y="2557648"/>
          <a:chExt cx="60163" cy="216440"/>
        </a:xfrm>
      </cdr:grpSpPr>
      <cdr:cxnSp macro="">
        <cdr:nvCxnSpPr>
          <cdr:cNvPr id="26" name="Straight Connector 25"/>
          <cdr:cNvCxnSpPr/>
        </cdr:nvCxnSpPr>
        <cdr:spPr>
          <a:xfrm xmlns:a="http://schemas.openxmlformats.org/drawingml/2006/main">
            <a:off x="10262713" y="2557648"/>
            <a:ext cx="0" cy="211485"/>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cxnSp macro="">
        <cdr:nvCxnSpPr>
          <cdr:cNvPr id="27" name="Straight Connector 26"/>
          <cdr:cNvCxnSpPr/>
        </cdr:nvCxnSpPr>
        <cdr:spPr>
          <a:xfrm xmlns:a="http://schemas.openxmlformats.org/drawingml/2006/main">
            <a:off x="10322876" y="2562603"/>
            <a:ext cx="0" cy="211485"/>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grpSp>
  </cdr:relSizeAnchor>
  <cdr:relSizeAnchor xmlns:cdr="http://schemas.openxmlformats.org/drawingml/2006/chartDrawing">
    <cdr:from>
      <cdr:x>0.97665</cdr:x>
      <cdr:y>0.42289</cdr:y>
    </cdr:from>
    <cdr:to>
      <cdr:x>0.98237</cdr:x>
      <cdr:y>0.45565</cdr:y>
    </cdr:to>
    <cdr:grpSp>
      <cdr:nvGrpSpPr>
        <cdr:cNvPr id="14" name="Group 13"/>
        <cdr:cNvGrpSpPr/>
      </cdr:nvGrpSpPr>
      <cdr:grpSpPr>
        <a:xfrm xmlns:a="http://schemas.openxmlformats.org/drawingml/2006/main">
          <a:off x="15324367" y="3125025"/>
          <a:ext cx="89751" cy="242086"/>
          <a:chOff x="0" y="0"/>
          <a:chExt cx="60163" cy="216440"/>
        </a:xfrm>
      </cdr:grpSpPr>
      <cdr:cxnSp macro="">
        <cdr:nvCxnSpPr>
          <cdr:cNvPr id="15" name="Straight Connector 14"/>
          <cdr:cNvCxnSpPr/>
        </cdr:nvCxnSpPr>
        <cdr:spPr>
          <a:xfrm xmlns:a="http://schemas.openxmlformats.org/drawingml/2006/main">
            <a:off x="0" y="0"/>
            <a:ext cx="0" cy="211485"/>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cxnSp macro="">
        <cdr:nvCxnSpPr>
          <cdr:cNvPr id="16" name="Straight Connector 15"/>
          <cdr:cNvCxnSpPr/>
        </cdr:nvCxnSpPr>
        <cdr:spPr>
          <a:xfrm xmlns:a="http://schemas.openxmlformats.org/drawingml/2006/main">
            <a:off x="60163" y="4955"/>
            <a:ext cx="0" cy="211485"/>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grpSp>
  </cdr:relSizeAnchor>
  <cdr:relSizeAnchor xmlns:cdr="http://schemas.openxmlformats.org/drawingml/2006/chartDrawing">
    <cdr:from>
      <cdr:x>0.97665</cdr:x>
      <cdr:y>0.58931</cdr:y>
    </cdr:from>
    <cdr:to>
      <cdr:x>0.98237</cdr:x>
      <cdr:y>0.62207</cdr:y>
    </cdr:to>
    <cdr:grpSp>
      <cdr:nvGrpSpPr>
        <cdr:cNvPr id="17" name="Group 16"/>
        <cdr:cNvGrpSpPr/>
      </cdr:nvGrpSpPr>
      <cdr:grpSpPr>
        <a:xfrm xmlns:a="http://schemas.openxmlformats.org/drawingml/2006/main">
          <a:off x="15324367" y="4354816"/>
          <a:ext cx="89751" cy="242087"/>
          <a:chOff x="0" y="0"/>
          <a:chExt cx="60163" cy="216440"/>
        </a:xfrm>
      </cdr:grpSpPr>
      <cdr:cxnSp macro="">
        <cdr:nvCxnSpPr>
          <cdr:cNvPr id="18" name="Straight Connector 17"/>
          <cdr:cNvCxnSpPr/>
        </cdr:nvCxnSpPr>
        <cdr:spPr>
          <a:xfrm xmlns:a="http://schemas.openxmlformats.org/drawingml/2006/main">
            <a:off x="0" y="0"/>
            <a:ext cx="0" cy="211485"/>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cxnSp macro="">
        <cdr:nvCxnSpPr>
          <cdr:cNvPr id="19" name="Straight Connector 18"/>
          <cdr:cNvCxnSpPr/>
        </cdr:nvCxnSpPr>
        <cdr:spPr>
          <a:xfrm xmlns:a="http://schemas.openxmlformats.org/drawingml/2006/main">
            <a:off x="60163" y="4955"/>
            <a:ext cx="0" cy="211485"/>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grpSp>
  </cdr:relSizeAnchor>
  <cdr:relSizeAnchor xmlns:cdr="http://schemas.openxmlformats.org/drawingml/2006/chartDrawing">
    <cdr:from>
      <cdr:x>0.97665</cdr:x>
      <cdr:y>0.71617</cdr:y>
    </cdr:from>
    <cdr:to>
      <cdr:x>0.98237</cdr:x>
      <cdr:y>0.74893</cdr:y>
    </cdr:to>
    <cdr:grpSp>
      <cdr:nvGrpSpPr>
        <cdr:cNvPr id="21" name="Group 20"/>
        <cdr:cNvGrpSpPr/>
      </cdr:nvGrpSpPr>
      <cdr:grpSpPr>
        <a:xfrm xmlns:a="http://schemas.openxmlformats.org/drawingml/2006/main">
          <a:off x="15324367" y="5292272"/>
          <a:ext cx="89751" cy="242086"/>
          <a:chOff x="0" y="0"/>
          <a:chExt cx="60163" cy="216440"/>
        </a:xfrm>
      </cdr:grpSpPr>
      <cdr:cxnSp macro="">
        <cdr:nvCxnSpPr>
          <cdr:cNvPr id="23" name="Straight Connector 22"/>
          <cdr:cNvCxnSpPr/>
        </cdr:nvCxnSpPr>
        <cdr:spPr>
          <a:xfrm xmlns:a="http://schemas.openxmlformats.org/drawingml/2006/main">
            <a:off x="0" y="0"/>
            <a:ext cx="0" cy="211485"/>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cxnSp macro="">
        <cdr:nvCxnSpPr>
          <cdr:cNvPr id="24" name="Straight Connector 23"/>
          <cdr:cNvCxnSpPr/>
        </cdr:nvCxnSpPr>
        <cdr:spPr>
          <a:xfrm xmlns:a="http://schemas.openxmlformats.org/drawingml/2006/main">
            <a:off x="60163" y="4955"/>
            <a:ext cx="0" cy="211485"/>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grpSp>
  </cdr:relSizeAnchor>
  <cdr:relSizeAnchor xmlns:cdr="http://schemas.openxmlformats.org/drawingml/2006/chartDrawing">
    <cdr:from>
      <cdr:x>0.24673</cdr:x>
      <cdr:y>0.07524</cdr:y>
    </cdr:from>
    <cdr:to>
      <cdr:x>0.49362</cdr:x>
      <cdr:y>0.1319</cdr:y>
    </cdr:to>
    <cdr:sp macro="" textlink="">
      <cdr:nvSpPr>
        <cdr:cNvPr id="32" name="TextBox 1"/>
        <cdr:cNvSpPr txBox="1"/>
      </cdr:nvSpPr>
      <cdr:spPr>
        <a:xfrm xmlns:a="http://schemas.openxmlformats.org/drawingml/2006/main">
          <a:off x="2423886" y="497115"/>
          <a:ext cx="2425469" cy="3743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Times New Roman" panose="02020603050405020304" pitchFamily="18" charset="0"/>
              <a:cs typeface="Times New Roman" panose="02020603050405020304" pitchFamily="18" charset="0"/>
            </a:rPr>
            <a:t>7</a:t>
          </a:r>
          <a:r>
            <a:rPr lang="en-US" sz="1200" baseline="0">
              <a:latin typeface="Times New Roman" panose="02020603050405020304" pitchFamily="18" charset="0"/>
              <a:cs typeface="Times New Roman" panose="02020603050405020304" pitchFamily="18" charset="0"/>
            </a:rPr>
            <a:t> days after beginning Tx</a:t>
          </a:r>
          <a:endParaRPr lang="en-US" sz="12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0.51237</cdr:x>
      <cdr:y>0.38113</cdr:y>
    </cdr:from>
    <cdr:to>
      <cdr:x>0.59958</cdr:x>
      <cdr:y>0.42374</cdr:y>
    </cdr:to>
    <cdr:sp macro="" textlink="">
      <cdr:nvSpPr>
        <cdr:cNvPr id="33" name="TextBox 1"/>
        <cdr:cNvSpPr txBox="1"/>
      </cdr:nvSpPr>
      <cdr:spPr>
        <a:xfrm xmlns:a="http://schemas.openxmlformats.org/drawingml/2006/main">
          <a:off x="8029779" y="2899715"/>
          <a:ext cx="1366764" cy="3241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Times New Roman" panose="02020603050405020304" pitchFamily="18" charset="0"/>
              <a:cs typeface="Times New Roman" panose="02020603050405020304" pitchFamily="18" charset="0"/>
            </a:rPr>
            <a:t>One test:</a:t>
          </a:r>
          <a:r>
            <a:rPr lang="en-US" sz="1200" baseline="0">
              <a:latin typeface="Times New Roman" panose="02020603050405020304" pitchFamily="18" charset="0"/>
              <a:cs typeface="Times New Roman" panose="02020603050405020304" pitchFamily="18" charset="0"/>
            </a:rPr>
            <a:t> culture</a:t>
          </a:r>
          <a:endParaRPr lang="en-US" sz="12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0.40655</cdr:x>
      <cdr:y>0.56565</cdr:y>
    </cdr:from>
    <cdr:to>
      <cdr:x>0.54616</cdr:x>
      <cdr:y>0.62231</cdr:y>
    </cdr:to>
    <cdr:sp macro="" textlink="">
      <cdr:nvSpPr>
        <cdr:cNvPr id="34" name="TextBox 1"/>
        <cdr:cNvSpPr txBox="1"/>
      </cdr:nvSpPr>
      <cdr:spPr>
        <a:xfrm xmlns:a="http://schemas.openxmlformats.org/drawingml/2006/main">
          <a:off x="6371432" y="4303596"/>
          <a:ext cx="2187945" cy="43108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Times New Roman" panose="02020603050405020304" pitchFamily="18" charset="0"/>
              <a:cs typeface="Times New Roman" panose="02020603050405020304" pitchFamily="18" charset="0"/>
            </a:rPr>
            <a:t>Two tests:</a:t>
          </a:r>
          <a:r>
            <a:rPr lang="en-US" sz="1200" baseline="0">
              <a:latin typeface="Times New Roman" panose="02020603050405020304" pitchFamily="18" charset="0"/>
              <a:cs typeface="Times New Roman" panose="02020603050405020304" pitchFamily="18" charset="0"/>
            </a:rPr>
            <a:t> culture</a:t>
          </a:r>
          <a:endParaRPr lang="en-US" sz="12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0.42412</cdr:x>
      <cdr:y>0.72993</cdr:y>
    </cdr:from>
    <cdr:to>
      <cdr:x>0.56373</cdr:x>
      <cdr:y>0.78659</cdr:y>
    </cdr:to>
    <cdr:sp macro="" textlink="">
      <cdr:nvSpPr>
        <cdr:cNvPr id="35" name="TextBox 1"/>
        <cdr:cNvSpPr txBox="1"/>
      </cdr:nvSpPr>
      <cdr:spPr>
        <a:xfrm xmlns:a="http://schemas.openxmlformats.org/drawingml/2006/main">
          <a:off x="6646768" y="5553463"/>
          <a:ext cx="2187945" cy="43108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Times New Roman" panose="02020603050405020304" pitchFamily="18" charset="0"/>
              <a:cs typeface="Times New Roman" panose="02020603050405020304" pitchFamily="18" charset="0"/>
            </a:rPr>
            <a:t>Two tests:</a:t>
          </a:r>
          <a:r>
            <a:rPr lang="en-US" sz="1200" baseline="0">
              <a:latin typeface="Times New Roman" panose="02020603050405020304" pitchFamily="18" charset="0"/>
              <a:cs typeface="Times New Roman" panose="02020603050405020304" pitchFamily="18" charset="0"/>
            </a:rPr>
            <a:t> PCR</a:t>
          </a:r>
          <a:endParaRPr lang="en-US" sz="12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0.33094</cdr:x>
      <cdr:y>0.29273</cdr:y>
    </cdr:from>
    <cdr:to>
      <cdr:x>0.47921</cdr:x>
      <cdr:y>0.34939</cdr:y>
    </cdr:to>
    <cdr:sp macro="" textlink="">
      <cdr:nvSpPr>
        <cdr:cNvPr id="36" name="TextBox 1"/>
        <cdr:cNvSpPr txBox="1"/>
      </cdr:nvSpPr>
      <cdr:spPr>
        <a:xfrm xmlns:a="http://schemas.openxmlformats.org/drawingml/2006/main">
          <a:off x="3251200" y="1934029"/>
          <a:ext cx="1456641" cy="3743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Times New Roman" panose="02020603050405020304" pitchFamily="18" charset="0"/>
              <a:cs typeface="Times New Roman" panose="02020603050405020304" pitchFamily="18" charset="0"/>
            </a:rPr>
            <a:t>24</a:t>
          </a:r>
          <a:r>
            <a:rPr lang="en-US" sz="1200" baseline="0">
              <a:latin typeface="Times New Roman" panose="02020603050405020304" pitchFamily="18" charset="0"/>
              <a:cs typeface="Times New Roman" panose="02020603050405020304" pitchFamily="18" charset="0"/>
            </a:rPr>
            <a:t> hr symptom free</a:t>
          </a:r>
          <a:endParaRPr lang="en-US" sz="12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0.3311</cdr:x>
      <cdr:y>0.67305</cdr:y>
    </cdr:from>
    <cdr:to>
      <cdr:x>0.47072</cdr:x>
      <cdr:y>0.72971</cdr:y>
    </cdr:to>
    <cdr:sp macro="" textlink="">
      <cdr:nvSpPr>
        <cdr:cNvPr id="37" name="TextBox 1"/>
        <cdr:cNvSpPr txBox="1"/>
      </cdr:nvSpPr>
      <cdr:spPr>
        <a:xfrm xmlns:a="http://schemas.openxmlformats.org/drawingml/2006/main">
          <a:off x="5188979" y="5120693"/>
          <a:ext cx="2188101" cy="43108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Times New Roman" panose="02020603050405020304" pitchFamily="18" charset="0"/>
              <a:cs typeface="Times New Roman" panose="02020603050405020304" pitchFamily="18" charset="0"/>
            </a:rPr>
            <a:t>One test:</a:t>
          </a:r>
          <a:r>
            <a:rPr lang="en-US" sz="1200" baseline="0">
              <a:latin typeface="Times New Roman" panose="02020603050405020304" pitchFamily="18" charset="0"/>
              <a:cs typeface="Times New Roman" panose="02020603050405020304" pitchFamily="18" charset="0"/>
            </a:rPr>
            <a:t> PCR</a:t>
          </a:r>
          <a:endParaRPr lang="en-US" sz="1200">
            <a:latin typeface="Times New Roman" panose="02020603050405020304" pitchFamily="18" charset="0"/>
            <a:cs typeface="Times New Roman" panose="02020603050405020304" pitchFamily="18"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111407</xdr:colOff>
      <xdr:row>10</xdr:row>
      <xdr:rowOff>110972</xdr:rowOff>
    </xdr:from>
    <xdr:to>
      <xdr:col>12</xdr:col>
      <xdr:colOff>313764</xdr:colOff>
      <xdr:row>44</xdr:row>
      <xdr:rowOff>156884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937137</xdr:colOff>
      <xdr:row>15</xdr:row>
      <xdr:rowOff>61450</xdr:rowOff>
    </xdr:from>
    <xdr:to>
      <xdr:col>11</xdr:col>
      <xdr:colOff>230444</xdr:colOff>
      <xdr:row>27</xdr:row>
      <xdr:rowOff>46087</xdr:rowOff>
    </xdr:to>
    <xdr:sp macro="" textlink="">
      <xdr:nvSpPr>
        <xdr:cNvPr id="2" name="TextBox 1"/>
        <xdr:cNvSpPr txBox="1"/>
      </xdr:nvSpPr>
      <xdr:spPr>
        <a:xfrm>
          <a:off x="11675806" y="2980402"/>
          <a:ext cx="2335162" cy="21968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1: Treatment mix as specified</a:t>
          </a:r>
          <a:r>
            <a:rPr lang="en-US" sz="1200" baseline="0"/>
            <a:t> in Inputs-Treatment Option 1 (C24:27)</a:t>
          </a:r>
        </a:p>
        <a:p>
          <a:pPr marL="0" marR="0" lvl="0" indent="0" defTabSz="914400" eaLnBrk="1" fontAlgn="auto" latinLnBrk="0" hangingPunct="1">
            <a:lnSpc>
              <a:spcPct val="100000"/>
            </a:lnSpc>
            <a:spcBef>
              <a:spcPts val="0"/>
            </a:spcBef>
            <a:spcAft>
              <a:spcPts val="0"/>
            </a:spcAft>
            <a:buClrTx/>
            <a:buSzTx/>
            <a:buFontTx/>
            <a:buNone/>
            <a:tabLst/>
            <a:defRPr/>
          </a:pPr>
          <a:endParaRPr lang="en-US"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2: Treatment mix as specified</a:t>
          </a:r>
          <a:r>
            <a:rPr lang="en-US" sz="1200" baseline="0">
              <a:solidFill>
                <a:schemeClr val="dk1"/>
              </a:solidFill>
              <a:effectLst/>
              <a:latin typeface="+mn-lt"/>
              <a:ea typeface="+mn-ea"/>
              <a:cs typeface="+mn-cs"/>
            </a:rPr>
            <a:t> in Inputs-Treatment Option 2 (D24:27)</a:t>
          </a:r>
          <a:endParaRPr lang="en-US" sz="12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3: Treatment mix as specified</a:t>
          </a:r>
          <a:r>
            <a:rPr lang="en-US" sz="1200" baseline="0">
              <a:solidFill>
                <a:schemeClr val="dk1"/>
              </a:solidFill>
              <a:effectLst/>
              <a:latin typeface="+mn-lt"/>
              <a:ea typeface="+mn-ea"/>
              <a:cs typeface="+mn-cs"/>
            </a:rPr>
            <a:t> in Inputs-Treatment Option 3 (E24:27)</a:t>
          </a:r>
          <a:endParaRPr lang="en-US" sz="1200">
            <a:effectLst/>
          </a:endParaRPr>
        </a:p>
        <a:p>
          <a:endParaRPr lang="en-US" sz="12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2722</xdr:colOff>
      <xdr:row>10</xdr:row>
      <xdr:rowOff>114300</xdr:rowOff>
    </xdr:from>
    <xdr:to>
      <xdr:col>7</xdr:col>
      <xdr:colOff>436562</xdr:colOff>
      <xdr:row>43</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46</xdr:row>
      <xdr:rowOff>16330</xdr:rowOff>
    </xdr:from>
    <xdr:to>
      <xdr:col>7</xdr:col>
      <xdr:colOff>476250</xdr:colOff>
      <xdr:row>77</xdr:row>
      <xdr:rowOff>178594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19844</xdr:colOff>
      <xdr:row>81</xdr:row>
      <xdr:rowOff>175081</xdr:rowOff>
    </xdr:from>
    <xdr:to>
      <xdr:col>7</xdr:col>
      <xdr:colOff>575468</xdr:colOff>
      <xdr:row>113</xdr:row>
      <xdr:rowOff>59531</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340179</xdr:colOff>
      <xdr:row>49</xdr:row>
      <xdr:rowOff>13607</xdr:rowOff>
    </xdr:from>
    <xdr:to>
      <xdr:col>4</xdr:col>
      <xdr:colOff>625935</xdr:colOff>
      <xdr:row>51</xdr:row>
      <xdr:rowOff>40785</xdr:rowOff>
    </xdr:to>
    <xdr:sp macro="" textlink="">
      <xdr:nvSpPr>
        <xdr:cNvPr id="5" name="TextBox 1"/>
        <xdr:cNvSpPr txBox="1"/>
      </xdr:nvSpPr>
      <xdr:spPr>
        <a:xfrm>
          <a:off x="5987143" y="9593036"/>
          <a:ext cx="1197435" cy="40817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400">
              <a:latin typeface="Times New Roman" panose="02020603050405020304" pitchFamily="18" charset="0"/>
              <a:cs typeface="Times New Roman" panose="02020603050405020304" pitchFamily="18" charset="0"/>
            </a:rPr>
            <a:t>Midpoint</a:t>
          </a:r>
        </a:p>
      </xdr:txBody>
    </xdr:sp>
    <xdr:clientData/>
  </xdr:twoCellAnchor>
  <xdr:twoCellAnchor>
    <xdr:from>
      <xdr:col>2</xdr:col>
      <xdr:colOff>3812722</xdr:colOff>
      <xdr:row>47</xdr:row>
      <xdr:rowOff>179614</xdr:rowOff>
    </xdr:from>
    <xdr:to>
      <xdr:col>3</xdr:col>
      <xdr:colOff>57157</xdr:colOff>
      <xdr:row>50</xdr:row>
      <xdr:rowOff>16292</xdr:rowOff>
    </xdr:to>
    <xdr:sp macro="" textlink="">
      <xdr:nvSpPr>
        <xdr:cNvPr id="7" name="TextBox 1"/>
        <xdr:cNvSpPr txBox="1"/>
      </xdr:nvSpPr>
      <xdr:spPr>
        <a:xfrm>
          <a:off x="4506686" y="9378043"/>
          <a:ext cx="1197435" cy="40817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400">
              <a:latin typeface="Times New Roman" panose="02020603050405020304" pitchFamily="18" charset="0"/>
              <a:cs typeface="Times New Roman" panose="02020603050405020304" pitchFamily="18" charset="0"/>
            </a:rPr>
            <a:t>Low</a:t>
          </a:r>
        </a:p>
      </xdr:txBody>
    </xdr:sp>
    <xdr:clientData/>
  </xdr:twoCellAnchor>
  <xdr:twoCellAnchor>
    <xdr:from>
      <xdr:col>2</xdr:col>
      <xdr:colOff>4014107</xdr:colOff>
      <xdr:row>13</xdr:row>
      <xdr:rowOff>108857</xdr:rowOff>
    </xdr:from>
    <xdr:to>
      <xdr:col>3</xdr:col>
      <xdr:colOff>258542</xdr:colOff>
      <xdr:row>15</xdr:row>
      <xdr:rowOff>136035</xdr:rowOff>
    </xdr:to>
    <xdr:sp macro="" textlink="">
      <xdr:nvSpPr>
        <xdr:cNvPr id="8" name="TextBox 1"/>
        <xdr:cNvSpPr txBox="1"/>
      </xdr:nvSpPr>
      <xdr:spPr>
        <a:xfrm>
          <a:off x="4708071" y="2748643"/>
          <a:ext cx="1197435" cy="40817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400">
              <a:latin typeface="Times New Roman" panose="02020603050405020304" pitchFamily="18" charset="0"/>
              <a:cs typeface="Times New Roman" panose="02020603050405020304" pitchFamily="18" charset="0"/>
            </a:rPr>
            <a:t>Midpoint</a:t>
          </a:r>
        </a:p>
      </xdr:txBody>
    </xdr:sp>
    <xdr:clientData/>
  </xdr:twoCellAnchor>
  <xdr:twoCellAnchor>
    <xdr:from>
      <xdr:col>4</xdr:col>
      <xdr:colOff>166007</xdr:colOff>
      <xdr:row>14</xdr:row>
      <xdr:rowOff>111578</xdr:rowOff>
    </xdr:from>
    <xdr:to>
      <xdr:col>5</xdr:col>
      <xdr:colOff>410942</xdr:colOff>
      <xdr:row>16</xdr:row>
      <xdr:rowOff>138756</xdr:rowOff>
    </xdr:to>
    <xdr:sp macro="" textlink="">
      <xdr:nvSpPr>
        <xdr:cNvPr id="9" name="TextBox 1"/>
        <xdr:cNvSpPr txBox="1"/>
      </xdr:nvSpPr>
      <xdr:spPr>
        <a:xfrm>
          <a:off x="6724650" y="2941864"/>
          <a:ext cx="1197435" cy="40817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400">
              <a:latin typeface="Times New Roman" panose="02020603050405020304" pitchFamily="18" charset="0"/>
              <a:cs typeface="Times New Roman" panose="02020603050405020304" pitchFamily="18" charset="0"/>
            </a:rPr>
            <a:t>High</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0.39305</cdr:x>
      <cdr:y>0.05673</cdr:y>
    </cdr:from>
    <cdr:to>
      <cdr:x>0.51495</cdr:x>
      <cdr:y>0.12286</cdr:y>
    </cdr:to>
    <cdr:sp macro="" textlink="">
      <cdr:nvSpPr>
        <cdr:cNvPr id="2" name="TextBox 1"/>
        <cdr:cNvSpPr txBox="1"/>
      </cdr:nvSpPr>
      <cdr:spPr>
        <a:xfrm xmlns:a="http://schemas.openxmlformats.org/drawingml/2006/main">
          <a:off x="3860800" y="350157"/>
          <a:ext cx="1197435" cy="4081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a:latin typeface="Times New Roman" panose="02020603050405020304" pitchFamily="18" charset="0"/>
              <a:cs typeface="Times New Roman" panose="02020603050405020304" pitchFamily="18" charset="0"/>
            </a:rPr>
            <a:t>Low</a:t>
          </a:r>
        </a:p>
      </cdr:txBody>
    </cdr:sp>
  </cdr:relSizeAnchor>
</c:userShapes>
</file>

<file path=xl/drawings/drawing6.xml><?xml version="1.0" encoding="utf-8"?>
<c:userShapes xmlns:c="http://schemas.openxmlformats.org/drawingml/2006/chart">
  <cdr:relSizeAnchor xmlns:cdr="http://schemas.openxmlformats.org/drawingml/2006/chartDrawing">
    <cdr:from>
      <cdr:x>0.84966</cdr:x>
      <cdr:y>0.09374</cdr:y>
    </cdr:from>
    <cdr:to>
      <cdr:x>0.97104</cdr:x>
      <cdr:y>0.16101</cdr:y>
    </cdr:to>
    <cdr:sp macro="" textlink="">
      <cdr:nvSpPr>
        <cdr:cNvPr id="2" name="TextBox 1"/>
        <cdr:cNvSpPr txBox="1"/>
      </cdr:nvSpPr>
      <cdr:spPr>
        <a:xfrm xmlns:a="http://schemas.openxmlformats.org/drawingml/2006/main">
          <a:off x="8382023" y="568806"/>
          <a:ext cx="1197435" cy="4081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400">
              <a:latin typeface="Times New Roman" panose="02020603050405020304" pitchFamily="18" charset="0"/>
              <a:cs typeface="Times New Roman" panose="02020603050405020304" pitchFamily="18" charset="0"/>
            </a:rPr>
            <a:t>High</a:t>
          </a:r>
        </a:p>
      </cdr:txBody>
    </cdr:sp>
  </cdr:relSizeAnchor>
</c:userShapes>
</file>

<file path=xl/drawings/drawing7.xml><?xml version="1.0" encoding="utf-8"?>
<c:userShapes xmlns:c="http://schemas.openxmlformats.org/drawingml/2006/chart">
  <cdr:relSizeAnchor xmlns:cdr="http://schemas.openxmlformats.org/drawingml/2006/chartDrawing">
    <cdr:from>
      <cdr:x>0.85346</cdr:x>
      <cdr:y>0.11088</cdr:y>
    </cdr:from>
    <cdr:to>
      <cdr:x>0.97387</cdr:x>
      <cdr:y>0.17914</cdr:y>
    </cdr:to>
    <cdr:sp macro="" textlink="">
      <cdr:nvSpPr>
        <cdr:cNvPr id="2" name="TextBox 1"/>
        <cdr:cNvSpPr txBox="1"/>
      </cdr:nvSpPr>
      <cdr:spPr>
        <a:xfrm xmlns:a="http://schemas.openxmlformats.org/drawingml/2006/main">
          <a:off x="8487229" y="663124"/>
          <a:ext cx="1197424" cy="4082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a:latin typeface="Times New Roman" panose="02020603050405020304" pitchFamily="18" charset="0"/>
              <a:cs typeface="Times New Roman" panose="02020603050405020304" pitchFamily="18" charset="0"/>
            </a:rPr>
            <a:t>High</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B1:B8"/>
  <sheetViews>
    <sheetView showGridLines="0" tabSelected="1" workbookViewId="0">
      <selection activeCell="B2" sqref="B2"/>
    </sheetView>
  </sheetViews>
  <sheetFormatPr defaultRowHeight="15" x14ac:dyDescent="0.25"/>
  <sheetData>
    <row r="1" spans="2:2" s="77" customFormat="1" x14ac:dyDescent="0.25"/>
    <row r="2" spans="2:2" s="77" customFormat="1" ht="26.25" x14ac:dyDescent="0.4">
      <c r="B2" s="208" t="s">
        <v>194</v>
      </c>
    </row>
    <row r="3" spans="2:2" s="77" customFormat="1" x14ac:dyDescent="0.25">
      <c r="B3" s="78"/>
    </row>
    <row r="4" spans="2:2" s="77" customFormat="1" x14ac:dyDescent="0.25">
      <c r="B4" s="78" t="s">
        <v>128</v>
      </c>
    </row>
    <row r="5" spans="2:2" s="77" customFormat="1" x14ac:dyDescent="0.25">
      <c r="B5" s="78" t="s">
        <v>58</v>
      </c>
    </row>
    <row r="6" spans="2:2" s="77" customFormat="1" x14ac:dyDescent="0.25">
      <c r="B6" s="78"/>
    </row>
    <row r="7" spans="2:2" s="77" customFormat="1" x14ac:dyDescent="0.25">
      <c r="B7" s="79" t="s">
        <v>193</v>
      </c>
    </row>
    <row r="8" spans="2:2" s="77" customFormat="1" x14ac:dyDescent="0.25">
      <c r="B8" s="78"/>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AZ63"/>
  <sheetViews>
    <sheetView showGridLines="0" topLeftCell="A2" zoomScale="70" zoomScaleNormal="70" workbookViewId="0">
      <selection activeCell="A23" sqref="A23:XFD23"/>
    </sheetView>
  </sheetViews>
  <sheetFormatPr defaultRowHeight="15" x14ac:dyDescent="0.25"/>
  <cols>
    <col min="1" max="1" width="3.7109375" customWidth="1"/>
    <col min="2" max="2" width="6.7109375" customWidth="1"/>
    <col min="3" max="3" width="80" bestFit="1" customWidth="1"/>
    <col min="4" max="4" width="15.28515625" bestFit="1" customWidth="1"/>
    <col min="5" max="6" width="15.7109375" bestFit="1" customWidth="1"/>
    <col min="7" max="7" width="16.7109375" customWidth="1"/>
    <col min="8" max="8" width="16.42578125" customWidth="1"/>
    <col min="9" max="9" width="17.5703125" customWidth="1"/>
    <col min="10" max="10" width="15.85546875" customWidth="1"/>
    <col min="11" max="11" width="12.28515625" customWidth="1"/>
    <col min="12" max="12" width="13.7109375" customWidth="1"/>
    <col min="13" max="13" width="16.85546875" customWidth="1"/>
    <col min="14" max="14" width="14.28515625" bestFit="1" customWidth="1"/>
    <col min="15" max="15" width="19.28515625" customWidth="1"/>
    <col min="16" max="16" width="12.5703125" customWidth="1"/>
    <col min="17" max="17" width="14.5703125" customWidth="1"/>
    <col min="18" max="18" width="14.85546875" customWidth="1"/>
    <col min="19" max="19" width="14.5703125" customWidth="1"/>
    <col min="20" max="20" width="20.5703125" customWidth="1"/>
    <col min="21" max="21" width="17" customWidth="1"/>
    <col min="22" max="22" width="12.5703125" customWidth="1"/>
    <col min="23" max="23" width="16.42578125" customWidth="1"/>
    <col min="24" max="24" width="12.85546875" customWidth="1"/>
    <col min="25" max="25" width="12.140625" customWidth="1"/>
    <col min="26" max="26" width="21.28515625" customWidth="1"/>
    <col min="27" max="27" width="17.7109375" customWidth="1"/>
    <col min="29" max="29" width="13" customWidth="1"/>
    <col min="32" max="32" width="11.42578125" bestFit="1" customWidth="1"/>
    <col min="34" max="34" width="10" bestFit="1" customWidth="1"/>
    <col min="35" max="35" width="11.42578125" bestFit="1" customWidth="1"/>
    <col min="37" max="37" width="10" bestFit="1" customWidth="1"/>
    <col min="38" max="38" width="12.85546875" customWidth="1"/>
    <col min="39" max="39" width="10" bestFit="1" customWidth="1"/>
    <col min="41" max="41" width="12.85546875" customWidth="1"/>
    <col min="43" max="43" width="9.7109375" bestFit="1" customWidth="1"/>
    <col min="44" max="44" width="13.42578125" customWidth="1"/>
    <col min="45" max="45" width="9.7109375" bestFit="1" customWidth="1"/>
  </cols>
  <sheetData>
    <row r="1" spans="2:15" s="1" customFormat="1" x14ac:dyDescent="0.25"/>
    <row r="2" spans="2:15" s="1" customFormat="1" ht="21" x14ac:dyDescent="0.35">
      <c r="B2" s="56" t="s">
        <v>97</v>
      </c>
    </row>
    <row r="3" spans="2:15" s="1" customFormat="1" x14ac:dyDescent="0.25"/>
    <row r="5" spans="2:15" s="23" customFormat="1" ht="15.75" thickBot="1" x14ac:dyDescent="0.3">
      <c r="C5" s="29"/>
    </row>
    <row r="6" spans="2:15" ht="15.75" thickBot="1" x14ac:dyDescent="0.3">
      <c r="C6" s="28" t="s">
        <v>61</v>
      </c>
      <c r="D6" s="218" t="s">
        <v>102</v>
      </c>
      <c r="E6" s="219"/>
      <c r="F6" s="219"/>
      <c r="G6" s="218" t="s">
        <v>116</v>
      </c>
      <c r="H6" s="219"/>
      <c r="I6" s="219"/>
      <c r="J6" s="218" t="s">
        <v>105</v>
      </c>
      <c r="K6" s="219"/>
      <c r="L6" s="219"/>
      <c r="M6" s="218" t="s">
        <v>106</v>
      </c>
      <c r="N6" s="219"/>
      <c r="O6" s="219"/>
    </row>
    <row r="7" spans="2:15" ht="15.75" customHeight="1" thickBot="1" x14ac:dyDescent="0.3">
      <c r="C7" s="27" t="s">
        <v>6</v>
      </c>
      <c r="D7" s="265" t="s">
        <v>72</v>
      </c>
      <c r="E7" s="266"/>
      <c r="F7" s="267"/>
      <c r="G7" s="265" t="s">
        <v>72</v>
      </c>
      <c r="H7" s="266"/>
      <c r="I7" s="267"/>
      <c r="J7" s="265" t="s">
        <v>72</v>
      </c>
      <c r="K7" s="266"/>
      <c r="L7" s="266"/>
      <c r="M7" s="265" t="s">
        <v>72</v>
      </c>
      <c r="N7" s="266"/>
      <c r="O7" s="267"/>
    </row>
    <row r="8" spans="2:15" ht="15.75" thickBot="1" x14ac:dyDescent="0.3">
      <c r="C8" s="27" t="s">
        <v>70</v>
      </c>
      <c r="D8" s="59" t="s">
        <v>71</v>
      </c>
      <c r="E8" s="60" t="s">
        <v>65</v>
      </c>
      <c r="F8" s="61" t="s">
        <v>73</v>
      </c>
      <c r="G8" s="159" t="s">
        <v>71</v>
      </c>
      <c r="H8" s="160" t="s">
        <v>65</v>
      </c>
      <c r="I8" s="161" t="s">
        <v>73</v>
      </c>
      <c r="J8" s="59" t="s">
        <v>71</v>
      </c>
      <c r="K8" s="60" t="s">
        <v>65</v>
      </c>
      <c r="L8" s="157" t="s">
        <v>73</v>
      </c>
      <c r="M8" s="59" t="s">
        <v>71</v>
      </c>
      <c r="N8" s="60" t="s">
        <v>65</v>
      </c>
      <c r="O8" s="61" t="s">
        <v>73</v>
      </c>
    </row>
    <row r="9" spans="2:15" x14ac:dyDescent="0.25">
      <c r="C9" s="2" t="s">
        <v>50</v>
      </c>
      <c r="D9" s="3">
        <f>(1-'Inputs - Policies'!$E$14)^2</f>
        <v>4.0000000000000072E-4</v>
      </c>
      <c r="E9" s="3">
        <f>(1-'Inputs - Policies'!$D$14)^2</f>
        <v>1.6000000000000029E-3</v>
      </c>
      <c r="F9" s="3">
        <f>(1-'Inputs - Policies'!$C$14)^2</f>
        <v>3.6000000000000064E-3</v>
      </c>
      <c r="G9" s="196">
        <f>(1-'Inputs - Policies'!$E$14)^2</f>
        <v>4.0000000000000072E-4</v>
      </c>
      <c r="H9" s="196">
        <f>(1-'Inputs - Policies'!$D$14)^2</f>
        <v>1.6000000000000029E-3</v>
      </c>
      <c r="I9" s="196">
        <f>(1-'Inputs - Policies'!$C$14)^2</f>
        <v>3.6000000000000064E-3</v>
      </c>
      <c r="J9" s="3">
        <f>(1-'Inputs - Policies'!$E$14)^2</f>
        <v>4.0000000000000072E-4</v>
      </c>
      <c r="K9" s="3">
        <f>(1-'Inputs - Policies'!$D$14)^2</f>
        <v>1.6000000000000029E-3</v>
      </c>
      <c r="L9" s="3">
        <f>(1-'Inputs - Policies'!$C$14)^2</f>
        <v>3.6000000000000064E-3</v>
      </c>
      <c r="M9" s="3">
        <f>(1-'Inputs - Policies'!$E$14)^2</f>
        <v>4.0000000000000072E-4</v>
      </c>
      <c r="N9" s="3">
        <f>(1-'Inputs - Policies'!$D$14)^2</f>
        <v>1.6000000000000029E-3</v>
      </c>
      <c r="O9" s="3">
        <f>(1-'Inputs - Policies'!$C$14)^2</f>
        <v>3.6000000000000064E-3</v>
      </c>
    </row>
    <row r="10" spans="2:15" x14ac:dyDescent="0.25">
      <c r="C10" s="43" t="s">
        <v>54</v>
      </c>
      <c r="D10" s="3">
        <f>(1-'Inputs - Policies'!$E$15)^2</f>
        <v>7.8400000000000011E-2</v>
      </c>
      <c r="E10" s="3">
        <f>(1-'Inputs - Policies'!$D$15)^2</f>
        <v>0.23193856000000002</v>
      </c>
      <c r="F10" s="3">
        <f>(1-'Inputs - Policies'!$C$15)^2</f>
        <v>0.31360000000000005</v>
      </c>
      <c r="G10" s="3">
        <f>(1-'Inputs - Policies'!$E$15)^2</f>
        <v>7.8400000000000011E-2</v>
      </c>
      <c r="H10" s="3">
        <f>(1-'Inputs - Policies'!$D$15)^2</f>
        <v>0.23193856000000002</v>
      </c>
      <c r="I10" s="3">
        <f>(1-'Inputs - Policies'!$C$15)^2</f>
        <v>0.31360000000000005</v>
      </c>
      <c r="J10" s="3">
        <f>(1-'Inputs - Policies'!$E$15)^2</f>
        <v>7.8400000000000011E-2</v>
      </c>
      <c r="K10" s="3">
        <f>(1-'Inputs - Policies'!$D$15)^2</f>
        <v>0.23193856000000002</v>
      </c>
      <c r="L10" s="3">
        <f>(1-'Inputs - Policies'!$C$15)^2</f>
        <v>0.31360000000000005</v>
      </c>
      <c r="M10" s="3">
        <f>(1-'Inputs - Policies'!$E$15)^2</f>
        <v>7.8400000000000011E-2</v>
      </c>
      <c r="N10" s="3">
        <f>(1-'Inputs - Policies'!$D$15)^2</f>
        <v>0.23193856000000002</v>
      </c>
      <c r="O10" s="3">
        <f>(1-'Inputs - Policies'!$C$15)^2</f>
        <v>0.31360000000000005</v>
      </c>
    </row>
    <row r="11" spans="2:15" x14ac:dyDescent="0.25">
      <c r="C11" s="11" t="s">
        <v>52</v>
      </c>
      <c r="D11" s="4">
        <f>1-'Inputs - Policies'!$E$14</f>
        <v>2.0000000000000018E-2</v>
      </c>
      <c r="E11" s="4">
        <f>1-'Inputs - Policies'!$D$14</f>
        <v>4.0000000000000036E-2</v>
      </c>
      <c r="F11" s="103">
        <f>1-'Inputs - Policies'!$C$14</f>
        <v>6.0000000000000053E-2</v>
      </c>
      <c r="G11" s="4">
        <f>1-'Inputs - Policies'!$E$14</f>
        <v>2.0000000000000018E-2</v>
      </c>
      <c r="H11" s="4">
        <f>1-'Inputs - Policies'!$D$14</f>
        <v>4.0000000000000036E-2</v>
      </c>
      <c r="I11" s="4">
        <f>1-'Inputs - Policies'!$C$14</f>
        <v>6.0000000000000053E-2</v>
      </c>
      <c r="J11" s="4">
        <f>1-'Inputs - Policies'!$E$14</f>
        <v>2.0000000000000018E-2</v>
      </c>
      <c r="K11" s="4">
        <f>1-'Inputs - Policies'!$D$14</f>
        <v>4.0000000000000036E-2</v>
      </c>
      <c r="L11" s="103">
        <f>1-'Inputs - Policies'!$C$14</f>
        <v>6.0000000000000053E-2</v>
      </c>
      <c r="M11" s="4">
        <f>1-'Inputs - Policies'!$E$14</f>
        <v>2.0000000000000018E-2</v>
      </c>
      <c r="N11" s="4">
        <f>1-'Inputs - Policies'!$D$14</f>
        <v>4.0000000000000036E-2</v>
      </c>
      <c r="O11" s="4">
        <f>1-'Inputs - Policies'!$C$14</f>
        <v>6.0000000000000053E-2</v>
      </c>
    </row>
    <row r="12" spans="2:15" x14ac:dyDescent="0.25">
      <c r="C12" s="11" t="s">
        <v>51</v>
      </c>
      <c r="D12" s="4">
        <f>1-'Inputs - Policies'!$E$15</f>
        <v>0.28000000000000003</v>
      </c>
      <c r="E12" s="4">
        <f>1-'Inputs - Policies'!$D$15</f>
        <v>0.48160000000000003</v>
      </c>
      <c r="F12" s="103">
        <f>1-'Inputs - Policies'!$C$15</f>
        <v>0.56000000000000005</v>
      </c>
      <c r="G12" s="4">
        <f>1-'Inputs - Policies'!$E$15</f>
        <v>0.28000000000000003</v>
      </c>
      <c r="H12" s="4">
        <f>1-'Inputs - Policies'!$D$15</f>
        <v>0.48160000000000003</v>
      </c>
      <c r="I12" s="4">
        <f>1-'Inputs - Policies'!$C$15</f>
        <v>0.56000000000000005</v>
      </c>
      <c r="J12" s="4">
        <f>1-'Inputs - Policies'!$E$15</f>
        <v>0.28000000000000003</v>
      </c>
      <c r="K12" s="4">
        <f>1-'Inputs - Policies'!$D$15</f>
        <v>0.48160000000000003</v>
      </c>
      <c r="L12" s="103">
        <f>1-'Inputs - Policies'!$C$15</f>
        <v>0.56000000000000005</v>
      </c>
      <c r="M12" s="4">
        <f>1-'Inputs - Policies'!$E$15</f>
        <v>0.28000000000000003</v>
      </c>
      <c r="N12" s="4">
        <f>1-'Inputs - Policies'!$D$15</f>
        <v>0.48160000000000003</v>
      </c>
      <c r="O12" s="4">
        <f>1-'Inputs - Policies'!$C$15</f>
        <v>0.56000000000000005</v>
      </c>
    </row>
    <row r="13" spans="2:15" x14ac:dyDescent="0.25">
      <c r="C13" s="11" t="s">
        <v>1</v>
      </c>
      <c r="D13" s="6">
        <f>IF('Inputs - Treatment'!G13&gt;14,1-1/'Inputs - Treatment'!G13*14,0)</f>
        <v>0</v>
      </c>
      <c r="E13" s="6">
        <f>IF('Inputs - Treatment'!H13&gt;14,1-1/'Inputs - Treatment'!H13*14,0)</f>
        <v>0</v>
      </c>
      <c r="F13" s="104">
        <f>IF('Inputs - Treatment'!I13&gt;14,1-1/'Inputs - Treatment'!I13*14,0)</f>
        <v>0</v>
      </c>
      <c r="G13" s="6">
        <f>IF('Inputs - Treatment'!J13&gt;14,1-1/'Inputs - Treatment'!J13*14,0)</f>
        <v>0</v>
      </c>
      <c r="H13" s="107">
        <f>IF('Inputs - Treatment'!K13&gt;14,1-1/'Inputs - Treatment'!K13*14,0)</f>
        <v>0</v>
      </c>
      <c r="I13" s="107">
        <f>IF('Inputs - Treatment'!L13&gt;14,1-1/'Inputs - Treatment'!L13*14,0)</f>
        <v>0</v>
      </c>
      <c r="J13" s="107">
        <f>IF('Inputs - Treatment'!M13&gt;14,1-1/'Inputs - Treatment'!M13*14,0)</f>
        <v>0.17647058823529416</v>
      </c>
      <c r="K13" s="107">
        <f>IF('Inputs - Treatment'!N13&gt;14,1-1/'Inputs - Treatment'!N13*14,0)</f>
        <v>0.54838709677419351</v>
      </c>
      <c r="L13" s="75">
        <f>IF('Inputs - Treatment'!O13&gt;14,1-1/'Inputs - Treatment'!O13*14,0)</f>
        <v>0.65853658536585358</v>
      </c>
      <c r="M13" s="6">
        <f>IF('Inputs - Treatment'!P13&gt;14,1-1/'Inputs - Treatment'!P13*14,0)</f>
        <v>0</v>
      </c>
      <c r="N13" s="107">
        <f>IF('Inputs - Treatment'!Q13&gt;14,1-1/'Inputs - Treatment'!Q13*14,0)</f>
        <v>0</v>
      </c>
      <c r="O13" s="107">
        <f>IF('Inputs - Treatment'!R13&gt;14,1-1/'Inputs - Treatment'!R13*14,0)</f>
        <v>0.54838709677419351</v>
      </c>
    </row>
    <row r="14" spans="2:15" x14ac:dyDescent="0.25">
      <c r="C14" s="41" t="s">
        <v>144</v>
      </c>
      <c r="D14" s="5">
        <f>'Inputs - Treatment'!G15</f>
        <v>0</v>
      </c>
      <c r="E14" s="5">
        <f>'Inputs - Treatment'!G15</f>
        <v>0</v>
      </c>
      <c r="F14" s="105">
        <f>'Inputs - Treatment'!G15</f>
        <v>0</v>
      </c>
      <c r="G14" s="5">
        <f>'Inputs - Treatment'!J15</f>
        <v>0</v>
      </c>
      <c r="H14" s="108">
        <f>'Inputs - Treatment'!J15</f>
        <v>0</v>
      </c>
      <c r="I14" s="108">
        <f>'Inputs - Treatment'!J15</f>
        <v>0</v>
      </c>
      <c r="J14" s="108">
        <f>'Inputs - Treatment'!M15</f>
        <v>1</v>
      </c>
      <c r="K14" s="108">
        <f>'Inputs - Treatment'!M15</f>
        <v>1</v>
      </c>
      <c r="L14" s="108">
        <f>'Inputs - Treatment'!M15</f>
        <v>1</v>
      </c>
      <c r="M14" s="5" t="str">
        <f>'Inputs - Treatment'!P15</f>
        <v>-</v>
      </c>
      <c r="N14" s="108" t="str">
        <f>'Inputs - Treatment'!Q15</f>
        <v>-</v>
      </c>
      <c r="O14" s="108" t="str">
        <f>'Inputs - Treatment'!R15</f>
        <v>-</v>
      </c>
    </row>
    <row r="15" spans="2:15" ht="15.75" thickBot="1" x14ac:dyDescent="0.3">
      <c r="C15" s="12" t="s">
        <v>0</v>
      </c>
      <c r="D15" s="7">
        <f>MAX(1-1/'Inputs - Treatment'!G13*('Inputs - Treatment'!G14+1),0)</f>
        <v>0</v>
      </c>
      <c r="E15" s="7">
        <f>MAX(1-1/'Inputs - Treatment'!H13*('Inputs - Treatment'!H14+1),0)</f>
        <v>0</v>
      </c>
      <c r="F15" s="106">
        <f>MAX(1-1/'Inputs - Treatment'!I13*('Inputs - Treatment'!I14+1),0)</f>
        <v>0</v>
      </c>
      <c r="G15" s="7">
        <f>MAX(1-1/'Inputs - Treatment'!J13*('Inputs - Treatment'!J14+1),0)</f>
        <v>0</v>
      </c>
      <c r="H15" s="109">
        <f>MAX(1-1/'Inputs - Treatment'!K13*('Inputs - Treatment'!K14+1),0)</f>
        <v>0</v>
      </c>
      <c r="I15" s="109">
        <f>MAX(1-1/'Inputs - Treatment'!L13*('Inputs - Treatment'!L14+1),0)</f>
        <v>0</v>
      </c>
      <c r="J15" s="109">
        <f>MIN(J16:L16)</f>
        <v>0</v>
      </c>
      <c r="K15" s="109">
        <f>MEDIAN(J16:L16)</f>
        <v>0.64516129032258063</v>
      </c>
      <c r="L15" s="158">
        <f>MAX(J16:L16)</f>
        <v>0.88235294117647056</v>
      </c>
      <c r="M15" s="7">
        <f>MIN(M16:O16)</f>
        <v>0</v>
      </c>
      <c r="N15" s="109">
        <f>MEDIAN(M16:O16)</f>
        <v>0.45454545454545459</v>
      </c>
      <c r="O15" s="109">
        <f>MAX(M16:O16)</f>
        <v>0.5</v>
      </c>
    </row>
    <row r="16" spans="2:15" ht="15.75" thickBot="1" x14ac:dyDescent="0.3">
      <c r="B16" s="9">
        <v>1</v>
      </c>
      <c r="C16" s="10" t="s">
        <v>4</v>
      </c>
      <c r="D16" s="10"/>
      <c r="J16" s="162">
        <f>MAX(1-1/'Inputs - Treatment'!M13*('Inputs - Treatment'!M14+1),0)</f>
        <v>0.88235294117647056</v>
      </c>
      <c r="K16" s="163">
        <f>MAX(1-1/'Inputs - Treatment'!N13*('Inputs - Treatment'!N14+1),0)</f>
        <v>0.64516129032258063</v>
      </c>
      <c r="L16" s="163">
        <f>MAX(1-1/'Inputs - Treatment'!O13*('Inputs - Treatment'!O14+1),0)</f>
        <v>0</v>
      </c>
      <c r="M16" s="7">
        <f>MAX(1-1/'Inputs - Treatment'!P13*('Inputs - Treatment'!P14+1),0)</f>
        <v>0.5</v>
      </c>
      <c r="N16" s="109">
        <f>MAX(1-1/'Inputs - Treatment'!Q13*('Inputs - Treatment'!Q14+1),0)</f>
        <v>0.45454545454545459</v>
      </c>
      <c r="O16" s="109">
        <f>MAX(1-1/'Inputs - Treatment'!R13*('Inputs - Treatment'!R14+1),0)</f>
        <v>0</v>
      </c>
    </row>
    <row r="17" spans="2:27" x14ac:dyDescent="0.25">
      <c r="B17" s="9"/>
      <c r="C17" s="10"/>
      <c r="D17" s="10"/>
    </row>
    <row r="19" spans="2:27" s="23" customFormat="1" ht="15.75" thickBot="1" x14ac:dyDescent="0.3">
      <c r="C19" s="29" t="s">
        <v>46</v>
      </c>
      <c r="D19" s="29"/>
    </row>
    <row r="20" spans="2:27" s="23" customFormat="1" ht="15.75" thickBot="1" x14ac:dyDescent="0.3">
      <c r="C20" s="66" t="s">
        <v>61</v>
      </c>
      <c r="D20" s="271" t="str">
        <f>D6</f>
        <v>Immediate Treatment</v>
      </c>
      <c r="E20" s="272"/>
      <c r="F20" s="273"/>
      <c r="G20" s="271" t="str">
        <f>G6</f>
        <v>Treatment After Diagnosis</v>
      </c>
      <c r="H20" s="272"/>
      <c r="I20" s="273"/>
      <c r="J20" s="271" t="str">
        <f>J6</f>
        <v>Wrong Treatment</v>
      </c>
      <c r="K20" s="272"/>
      <c r="L20" s="273"/>
      <c r="M20" s="271" t="str">
        <f>M6</f>
        <v>No Treatment</v>
      </c>
      <c r="N20" s="272"/>
      <c r="O20" s="273"/>
    </row>
    <row r="21" spans="2:27" s="23" customFormat="1" ht="15.75" thickBot="1" x14ac:dyDescent="0.3">
      <c r="C21" s="57" t="s">
        <v>74</v>
      </c>
      <c r="D21" s="59" t="s">
        <v>71</v>
      </c>
      <c r="E21" s="60" t="s">
        <v>65</v>
      </c>
      <c r="F21" s="61" t="s">
        <v>73</v>
      </c>
      <c r="G21" s="110" t="s">
        <v>71</v>
      </c>
      <c r="H21" s="111" t="s">
        <v>65</v>
      </c>
      <c r="I21" s="112" t="s">
        <v>73</v>
      </c>
      <c r="J21" s="110" t="s">
        <v>71</v>
      </c>
      <c r="K21" s="111" t="s">
        <v>65</v>
      </c>
      <c r="L21" s="112" t="s">
        <v>73</v>
      </c>
      <c r="M21" s="110" t="s">
        <v>71</v>
      </c>
      <c r="N21" s="111" t="s">
        <v>65</v>
      </c>
      <c r="O21" s="112" t="s">
        <v>73</v>
      </c>
    </row>
    <row r="22" spans="2:27" x14ac:dyDescent="0.25">
      <c r="C22" s="40" t="s">
        <v>50</v>
      </c>
      <c r="D22" s="115">
        <f>D9*('Inputs - Treatment'!G16+'Inputs - Treatment'!G17*2)+(1-D9)*MAX('Inputs - Treatment'!G16+'Inputs - Treatment'!G17*2,'Inputs - Treatment'!G13+2*'Inputs - Treatment'!G17)</f>
        <v>7</v>
      </c>
      <c r="E22" s="115">
        <f>E9*('Inputs - Treatment'!H16+'Inputs - Treatment'!H17*2)+(1-E9)*MAX('Inputs - Treatment'!H16+'Inputs - Treatment'!H17*2,'Inputs - Treatment'!H13+2*'Inputs - Treatment'!H17)</f>
        <v>9</v>
      </c>
      <c r="F22" s="115">
        <f>F9*('Inputs - Treatment'!I16+'Inputs - Treatment'!I17*2)+(1-F9)*MAX('Inputs - Treatment'!I16+'Inputs - Treatment'!I17*2,'Inputs - Treatment'!I13+2*'Inputs - Treatment'!I17)</f>
        <v>17</v>
      </c>
      <c r="G22" s="115">
        <f>G9*('Inputs - Treatment'!J16+'Inputs - Treatment'!J17*2)+(1-G9)*MAX('Inputs - Treatment'!J16+'Inputs - Treatment'!J17*2,'Inputs - Treatment'!J13+2*'Inputs - Treatment'!J17)</f>
        <v>7</v>
      </c>
      <c r="H22" s="115">
        <f>H9*('Inputs - Treatment'!K16+'Inputs - Treatment'!K17*2)+(1-H9)*MAX('Inputs - Treatment'!K16+'Inputs - Treatment'!K17*2,'Inputs - Treatment'!K13+2*'Inputs - Treatment'!K17)</f>
        <v>9.5990399999999987</v>
      </c>
      <c r="I22" s="115">
        <f>I9*('Inputs - Treatment'!L16+'Inputs - Treatment'!L17*2)+(1-I9)*MAX('Inputs - Treatment'!L16+'Inputs - Treatment'!L17*2,'Inputs - Treatment'!L13+2*'Inputs - Treatment'!L17)</f>
        <v>18.992799999999999</v>
      </c>
      <c r="J22" s="115">
        <f>J9*('Inputs - Treatment'!M16+'Inputs - Treatment'!M17*2)+(1-J9)*MAX('Inputs - Treatment'!M16+'Inputs - Treatment'!M17*2,'Inputs - Treatment'!M13+2*'Inputs - Treatment'!M17)</f>
        <v>18.995200000000001</v>
      </c>
      <c r="K22" s="115">
        <f>K9*('Inputs - Treatment'!N16+'Inputs - Treatment'!N17*2)+(1-K9)*MAX('Inputs - Treatment'!N16+'Inputs - Treatment'!N17*2,'Inputs - Treatment'!N13+2*'Inputs - Treatment'!N17)</f>
        <v>34.958399999999997</v>
      </c>
      <c r="L22" s="115">
        <f>L9*('Inputs - Treatment'!O16+'Inputs - Treatment'!O17*2)+(1-L9)*MAX('Inputs - Treatment'!O16+'Inputs - Treatment'!O17*2,'Inputs - Treatment'!O13+2*'Inputs - Treatment'!O17)</f>
        <v>52.870399999999997</v>
      </c>
      <c r="M22" s="115">
        <f>M9*('Inputs - Treatment'!P17*2)+(1-M9)*('Inputs - Treatment'!P13+2*'Inputs - Treatment'!P17)</f>
        <v>5.9984000000000002</v>
      </c>
      <c r="N22" s="115">
        <f>N9*('Inputs - Treatment'!Q17*2)+(1-N9)*('Inputs - Treatment'!Q13+2*'Inputs - Treatment'!Q17)</f>
        <v>14.982399999999998</v>
      </c>
      <c r="O22" s="115">
        <f>O9*('Inputs - Treatment'!R17*2)+(1-O9)*('Inputs - Treatment'!R13+2*'Inputs - Treatment'!R17)</f>
        <v>42.888399999999997</v>
      </c>
    </row>
    <row r="23" spans="2:27" x14ac:dyDescent="0.25">
      <c r="C23" s="44" t="s">
        <v>54</v>
      </c>
      <c r="D23" s="102">
        <f>D10*('Inputs - Treatment'!G16+'Inputs - Treatment'!G18*2)+(1-D10)*MAX('Inputs - Treatment'!G16+'Inputs - Treatment'!G18*2,'Inputs - Treatment'!G13+2*'Inputs - Treatment'!G18)</f>
        <v>9</v>
      </c>
      <c r="E23" s="102">
        <f>E10*('Inputs - Treatment'!H16+'Inputs - Treatment'!H18*2)+(1-E10)*MAX('Inputs - Treatment'!H16+'Inputs - Treatment'!H18*2,'Inputs - Treatment'!H13+2*'Inputs - Treatment'!H18)</f>
        <v>11</v>
      </c>
      <c r="F23" s="102">
        <f>F10*('Inputs - Treatment'!I16+'Inputs - Treatment'!I18*2)+(1-F10)*MAX('Inputs - Treatment'!I16+'Inputs - Treatment'!I18*2,'Inputs - Treatment'!I13+2*'Inputs - Treatment'!I18)</f>
        <v>19</v>
      </c>
      <c r="G23" s="102">
        <f>G10*('Inputs - Treatment'!J16+'Inputs - Treatment'!J18*2)+(1-G10)*MAX('Inputs - Treatment'!J16+'Inputs - Treatment'!J18*2,'Inputs - Treatment'!J13+2*'Inputs - Treatment'!J18)</f>
        <v>9</v>
      </c>
      <c r="H23" s="102">
        <f>H10*('Inputs - Treatment'!K16+'Inputs - Treatment'!K18*2)+(1-H10)*MAX('Inputs - Treatment'!K16+'Inputs - Treatment'!K18*2,'Inputs - Treatment'!K13+2*'Inputs - Treatment'!K18)</f>
        <v>11.460836863999999</v>
      </c>
      <c r="I23" s="102">
        <f>I10*('Inputs - Treatment'!L16+'Inputs - Treatment'!L18*2)+(1-I10)*MAX('Inputs - Treatment'!L16+'Inputs - Treatment'!L18*2,'Inputs - Treatment'!L13+2*'Inputs - Treatment'!L18)</f>
        <v>20.372799999999998</v>
      </c>
      <c r="J23" s="102">
        <f>J10*('Inputs - Treatment'!M16+'Inputs - Treatment'!M18*2)+(1-J10)*MAX('Inputs - Treatment'!M16+'Inputs - Treatment'!M18*2,'Inputs - Treatment'!M13+2*'Inputs - Treatment'!M18)</f>
        <v>20.059200000000001</v>
      </c>
      <c r="K23" s="102">
        <f>K10*('Inputs - Treatment'!N16+'Inputs - Treatment'!N18*2)+(1-K10)*MAX('Inputs - Treatment'!N16+'Inputs - Treatment'!N18*2,'Inputs - Treatment'!N13+2*'Inputs - Treatment'!N18)</f>
        <v>30.969597440000001</v>
      </c>
      <c r="L23" s="102">
        <f>L10*('Inputs - Treatment'!O16+'Inputs - Treatment'!O18*2)+(1-L10)*MAX('Inputs - Treatment'!O16+'Inputs - Treatment'!O18*2,'Inputs - Treatment'!O13+2*'Inputs - Treatment'!O18)</f>
        <v>43.710399999999993</v>
      </c>
      <c r="M23" s="102">
        <f>M10*('Inputs - Treatment'!P18*2)+(1-M10)*MAX('Inputs - Treatment'!P13+2*'Inputs - Treatment'!P18)</f>
        <v>7.6863999999999999</v>
      </c>
      <c r="N23" s="102">
        <f>N10*('Inputs - Treatment'!Q18*2)+(1-N10)*MAX('Inputs - Treatment'!Q13+2*'Inputs - Treatment'!Q18)</f>
        <v>14.44867584</v>
      </c>
      <c r="O23" s="102">
        <f>O10*('Inputs - Treatment'!R18*2)+(1-O10)*MAX('Inputs - Treatment'!R13+2*'Inputs - Treatment'!R18)</f>
        <v>35.278399999999998</v>
      </c>
    </row>
    <row r="24" spans="2:27" x14ac:dyDescent="0.25">
      <c r="C24" s="41" t="s">
        <v>52</v>
      </c>
      <c r="D24" s="116">
        <f>D11*('Inputs - Treatment'!G16+'Inputs - Treatment'!G17)+(1-D11)*MAX('Inputs - Treatment'!G16+'Inputs - Treatment'!G17,'Inputs - Treatment'!G13+'Inputs - Treatment'!G17)</f>
        <v>6</v>
      </c>
      <c r="E24" s="116">
        <f>E11*('Inputs - Treatment'!H16+'Inputs - Treatment'!H17)+(1-E11)*MAX('Inputs - Treatment'!H16+'Inputs - Treatment'!H17,'Inputs - Treatment'!H13+'Inputs - Treatment'!H17)</f>
        <v>7</v>
      </c>
      <c r="F24" s="116">
        <f>F11*('Inputs - Treatment'!I16+'Inputs - Treatment'!I17)+(1-F11)*MAX('Inputs - Treatment'!I16+'Inputs - Treatment'!I17,'Inputs - Treatment'!I13+'Inputs - Treatment'!I17)</f>
        <v>11</v>
      </c>
      <c r="G24" s="116">
        <f>G11*('Inputs - Treatment'!J16+'Inputs - Treatment'!J17)+(1-G11)*MAX('Inputs - Treatment'!J16+'Inputs - Treatment'!J17,'Inputs - Treatment'!J13+'Inputs - Treatment'!J17)</f>
        <v>6</v>
      </c>
      <c r="H24" s="116">
        <f>H11*('Inputs - Treatment'!K16+'Inputs - Treatment'!K17)+(1-H11)*MAX('Inputs - Treatment'!K16+'Inputs - Treatment'!K17,'Inputs - Treatment'!K13+'Inputs - Treatment'!K17)</f>
        <v>7.5759999999999996</v>
      </c>
      <c r="I24" s="116">
        <f>I11*('Inputs - Treatment'!L16+'Inputs - Treatment'!L17)+(1-I11)*MAX('Inputs - Treatment'!L16+'Inputs - Treatment'!L17,'Inputs - Treatment'!L13+'Inputs - Treatment'!L17)</f>
        <v>12.879999999999999</v>
      </c>
      <c r="J24" s="116">
        <f>J11*('Inputs - Treatment'!M16+'Inputs - Treatment'!M17)+(1-J11)*MAX('Inputs - Treatment'!M16+'Inputs - Treatment'!M17,'Inputs - Treatment'!M13+'Inputs - Treatment'!M17)</f>
        <v>17.760000000000002</v>
      </c>
      <c r="K24" s="116">
        <f>K11*('Inputs - Treatment'!N16+'Inputs - Treatment'!N17)+(1-K11)*MAX('Inputs - Treatment'!N16+'Inputs - Treatment'!N17,'Inputs - Treatment'!N13+'Inputs - Treatment'!N17)</f>
        <v>31.96</v>
      </c>
      <c r="L24" s="116">
        <f>L11*('Inputs - Treatment'!O16+'Inputs - Treatment'!O17)+(1-L11)*MAX('Inputs - Treatment'!O16+'Inputs - Treatment'!O17,'Inputs - Treatment'!O13+'Inputs - Treatment'!O17)</f>
        <v>44.84</v>
      </c>
      <c r="M24" s="116">
        <f>M11*('Inputs - Treatment'!P17)+(1-M11)*('Inputs - Treatment'!P13+'Inputs - Treatment'!P17)</f>
        <v>4.92</v>
      </c>
      <c r="N24" s="116">
        <f>N11*('Inputs - Treatment'!Q17)+(1-N11)*('Inputs - Treatment'!Q13+'Inputs - Treatment'!Q17)</f>
        <v>12.56</v>
      </c>
      <c r="O24" s="116">
        <f>O11*('Inputs - Treatment'!R17)+(1-O11)*('Inputs - Treatment'!R13+'Inputs - Treatment'!R17)</f>
        <v>35.14</v>
      </c>
    </row>
    <row r="25" spans="2:27" x14ac:dyDescent="0.25">
      <c r="C25" s="41" t="s">
        <v>51</v>
      </c>
      <c r="D25" s="116">
        <f>D12*('Inputs - Treatment'!G16+'Inputs - Treatment'!G18)+(1-D12)*MAX('Inputs - Treatment'!G16+'Inputs - Treatment'!G18,'Inputs - Treatment'!G13+'Inputs - Treatment'!G18)</f>
        <v>7</v>
      </c>
      <c r="E25" s="116">
        <f>E12*('Inputs - Treatment'!H16+'Inputs - Treatment'!H18)+(1-E12)*MAX('Inputs - Treatment'!H16+'Inputs - Treatment'!H18,'Inputs - Treatment'!H13+'Inputs - Treatment'!H18)</f>
        <v>8</v>
      </c>
      <c r="F25" s="116">
        <f>F12*('Inputs - Treatment'!I16+'Inputs - Treatment'!I18)+(1-F12)*MAX('Inputs - Treatment'!I16+'Inputs - Treatment'!I18,'Inputs - Treatment'!I13+'Inputs - Treatment'!I18)</f>
        <v>12</v>
      </c>
      <c r="G25" s="116">
        <f>G12*('Inputs - Treatment'!J16+'Inputs - Treatment'!J18)+(1-G12)*MAX('Inputs - Treatment'!J16+'Inputs - Treatment'!J18,'Inputs - Treatment'!J13+'Inputs - Treatment'!J18)</f>
        <v>7</v>
      </c>
      <c r="H25" s="116">
        <f>H12*('Inputs - Treatment'!K16+'Inputs - Treatment'!K18)+(1-H12)*MAX('Inputs - Treatment'!K16+'Inputs - Treatment'!K18,'Inputs - Treatment'!K13+'Inputs - Treatment'!K18)</f>
        <v>8.3110400000000002</v>
      </c>
      <c r="I25" s="116">
        <f>I12*('Inputs - Treatment'!L16+'Inputs - Treatment'!L18)+(1-I12)*MAX('Inputs - Treatment'!L16+'Inputs - Treatment'!L18,'Inputs - Treatment'!L13+'Inputs - Treatment'!L18)</f>
        <v>12.879999999999999</v>
      </c>
      <c r="J25" s="116">
        <f>J12*('Inputs - Treatment'!M16+'Inputs - Treatment'!M18)+(1-J12)*MAX('Inputs - Treatment'!M16+'Inputs - Treatment'!M18,'Inputs - Treatment'!M13+'Inputs - Treatment'!M18)</f>
        <v>15.64</v>
      </c>
      <c r="K25" s="116">
        <f>K12*('Inputs - Treatment'!N16+'Inputs - Treatment'!N18)+(1-K12)*MAX('Inputs - Treatment'!N16+'Inputs - Treatment'!N18,'Inputs - Treatment'!N13+'Inputs - Treatment'!N18)</f>
        <v>21.478400000000001</v>
      </c>
      <c r="L25" s="116">
        <f>L12*('Inputs - Treatment'!O16+'Inputs - Treatment'!O18)+(1-L12)*MAX('Inputs - Treatment'!O16+'Inputs - Treatment'!O18,'Inputs - Treatment'!O13+'Inputs - Treatment'!O18)</f>
        <v>27.839999999999996</v>
      </c>
      <c r="M25" s="116">
        <f>M12*('Inputs - Treatment'!P18)+(1-M12)*('Inputs - Treatment'!P13+'Inputs - Treatment'!P18)</f>
        <v>4.8800000000000008</v>
      </c>
      <c r="N25" s="116">
        <f>N12*('Inputs - Treatment'!Q18)+(1-N12)*('Inputs - Treatment'!Q13+'Inputs - Treatment'!Q18)</f>
        <v>8.7024000000000008</v>
      </c>
      <c r="O25" s="116">
        <f>O12*('Inputs - Treatment'!R18)+(1-O12)*('Inputs - Treatment'!R13+'Inputs - Treatment'!R18)</f>
        <v>20.64</v>
      </c>
    </row>
    <row r="26" spans="2:27" x14ac:dyDescent="0.25">
      <c r="C26" s="41" t="s">
        <v>1</v>
      </c>
      <c r="D26" s="102">
        <v>14</v>
      </c>
      <c r="E26" s="113">
        <v>14</v>
      </c>
      <c r="F26" s="113">
        <v>14</v>
      </c>
      <c r="G26" s="113">
        <v>14</v>
      </c>
      <c r="H26" s="113">
        <v>14</v>
      </c>
      <c r="I26" s="113">
        <v>14</v>
      </c>
      <c r="J26" s="113">
        <v>14</v>
      </c>
      <c r="K26" s="113">
        <v>14</v>
      </c>
      <c r="L26" s="113">
        <v>14</v>
      </c>
      <c r="M26" s="113">
        <v>14</v>
      </c>
      <c r="N26" s="113">
        <v>14</v>
      </c>
      <c r="O26" s="113">
        <v>14</v>
      </c>
    </row>
    <row r="27" spans="2:27" x14ac:dyDescent="0.25">
      <c r="C27" s="41" t="s">
        <v>144</v>
      </c>
      <c r="D27" s="116">
        <f>2+'Inputs - Treatment'!G16</f>
        <v>7</v>
      </c>
      <c r="E27" s="116">
        <f>2+'Inputs - Treatment'!H16</f>
        <v>7</v>
      </c>
      <c r="F27" s="116">
        <f>2+'Inputs - Treatment'!I16</f>
        <v>7</v>
      </c>
      <c r="G27" s="116">
        <f>2+'Inputs - Treatment'!J16</f>
        <v>7</v>
      </c>
      <c r="H27" s="116">
        <f>2+'Inputs - Treatment'!K16</f>
        <v>7</v>
      </c>
      <c r="I27" s="116">
        <f>2+'Inputs - Treatment'!L16</f>
        <v>7</v>
      </c>
      <c r="J27" s="116">
        <f>2+'Inputs - Treatment'!M16</f>
        <v>7</v>
      </c>
      <c r="K27" s="116">
        <f>2+'Inputs - Treatment'!N16</f>
        <v>7</v>
      </c>
      <c r="L27" s="116">
        <f>2+'Inputs - Treatment'!O16</f>
        <v>7</v>
      </c>
      <c r="M27" s="8" t="s">
        <v>75</v>
      </c>
      <c r="N27" s="8" t="s">
        <v>75</v>
      </c>
      <c r="O27" s="8" t="s">
        <v>75</v>
      </c>
    </row>
    <row r="28" spans="2:27" ht="15.75" thickBot="1" x14ac:dyDescent="0.3">
      <c r="C28" s="42" t="s">
        <v>0</v>
      </c>
      <c r="D28" s="117">
        <f>1+'Inputs - Treatment'!G14</f>
        <v>2</v>
      </c>
      <c r="E28" s="114">
        <f>1+'Inputs - Treatment'!H14</f>
        <v>4.5999999999999996</v>
      </c>
      <c r="F28" s="114">
        <f>1+'Inputs - Treatment'!I14</f>
        <v>6</v>
      </c>
      <c r="G28" s="114">
        <f>1+'Inputs - Treatment'!J14</f>
        <v>4</v>
      </c>
      <c r="H28" s="114">
        <f>1+'Inputs - Treatment'!K14</f>
        <v>6.6</v>
      </c>
      <c r="I28" s="114">
        <f>1+'Inputs - Treatment'!L14</f>
        <v>8</v>
      </c>
      <c r="J28" s="114">
        <f>1+'Inputs - Treatment'!M14</f>
        <v>2</v>
      </c>
      <c r="K28" s="114">
        <f>1+'Inputs - Treatment'!N14</f>
        <v>11</v>
      </c>
      <c r="L28" s="114">
        <f>1+'Inputs - Treatment'!O14</f>
        <v>42</v>
      </c>
      <c r="M28" s="114">
        <f>1+'Inputs - Treatment'!P14</f>
        <v>2</v>
      </c>
      <c r="N28" s="114">
        <f>1+'Inputs - Treatment'!Q14</f>
        <v>6</v>
      </c>
      <c r="O28" s="114">
        <f>1+'Inputs - Treatment'!R14</f>
        <v>31</v>
      </c>
    </row>
    <row r="31" spans="2:27" s="23" customFormat="1" ht="15.75" thickBot="1" x14ac:dyDescent="0.3">
      <c r="C31" s="29" t="s">
        <v>47</v>
      </c>
    </row>
    <row r="32" spans="2:27" ht="15.75" thickBot="1" x14ac:dyDescent="0.3">
      <c r="C32" s="191" t="s">
        <v>61</v>
      </c>
      <c r="D32" s="274" t="str">
        <f>D6</f>
        <v>Immediate Treatment</v>
      </c>
      <c r="E32" s="274"/>
      <c r="F32" s="274"/>
      <c r="G32" s="274"/>
      <c r="H32" s="274"/>
      <c r="I32" s="275"/>
      <c r="J32" s="276" t="str">
        <f>G6</f>
        <v>Treatment After Diagnosis</v>
      </c>
      <c r="K32" s="274"/>
      <c r="L32" s="274"/>
      <c r="M32" s="274"/>
      <c r="N32" s="274"/>
      <c r="O32" s="275"/>
      <c r="P32" s="276" t="str">
        <f>J6</f>
        <v>Wrong Treatment</v>
      </c>
      <c r="Q32" s="274"/>
      <c r="R32" s="274"/>
      <c r="S32" s="274"/>
      <c r="T32" s="274"/>
      <c r="U32" s="275"/>
      <c r="V32" s="276" t="str">
        <f>M6</f>
        <v>No Treatment</v>
      </c>
      <c r="W32" s="274"/>
      <c r="X32" s="274"/>
      <c r="Y32" s="274"/>
      <c r="Z32" s="274"/>
      <c r="AA32" s="275"/>
    </row>
    <row r="33" spans="3:52" ht="15.75" thickBot="1" x14ac:dyDescent="0.3">
      <c r="C33" s="192" t="s">
        <v>6</v>
      </c>
      <c r="D33" s="255" t="s">
        <v>46</v>
      </c>
      <c r="E33" s="255"/>
      <c r="F33" s="256"/>
      <c r="G33" s="254" t="s">
        <v>72</v>
      </c>
      <c r="H33" s="255"/>
      <c r="I33" s="256"/>
      <c r="J33" s="251" t="s">
        <v>46</v>
      </c>
      <c r="K33" s="252"/>
      <c r="L33" s="253"/>
      <c r="M33" s="251" t="s">
        <v>72</v>
      </c>
      <c r="N33" s="252"/>
      <c r="O33" s="253"/>
      <c r="P33" s="251" t="s">
        <v>46</v>
      </c>
      <c r="Q33" s="252"/>
      <c r="R33" s="253"/>
      <c r="S33" s="251" t="s">
        <v>72</v>
      </c>
      <c r="T33" s="252"/>
      <c r="U33" s="252"/>
      <c r="V33" s="254" t="s">
        <v>46</v>
      </c>
      <c r="W33" s="255"/>
      <c r="X33" s="256"/>
      <c r="Y33" s="255" t="s">
        <v>72</v>
      </c>
      <c r="Z33" s="255"/>
      <c r="AA33" s="256"/>
    </row>
    <row r="34" spans="3:52" ht="15.75" thickBot="1" x14ac:dyDescent="0.3">
      <c r="C34" s="192" t="s">
        <v>74</v>
      </c>
      <c r="D34" s="189" t="s">
        <v>71</v>
      </c>
      <c r="E34" s="63" t="s">
        <v>65</v>
      </c>
      <c r="F34" s="64" t="s">
        <v>73</v>
      </c>
      <c r="G34" s="62" t="s">
        <v>71</v>
      </c>
      <c r="H34" s="63" t="s">
        <v>65</v>
      </c>
      <c r="I34" s="64" t="s">
        <v>73</v>
      </c>
      <c r="J34" s="62" t="s">
        <v>71</v>
      </c>
      <c r="K34" s="63" t="s">
        <v>65</v>
      </c>
      <c r="L34" s="64" t="s">
        <v>73</v>
      </c>
      <c r="M34" s="62" t="s">
        <v>71</v>
      </c>
      <c r="N34" s="63" t="s">
        <v>65</v>
      </c>
      <c r="O34" s="64" t="s">
        <v>73</v>
      </c>
      <c r="P34" s="62" t="s">
        <v>71</v>
      </c>
      <c r="Q34" s="63" t="s">
        <v>65</v>
      </c>
      <c r="R34" s="64" t="s">
        <v>73</v>
      </c>
      <c r="S34" s="62" t="s">
        <v>71</v>
      </c>
      <c r="T34" s="63" t="s">
        <v>65</v>
      </c>
      <c r="U34" s="64" t="s">
        <v>73</v>
      </c>
      <c r="V34" s="62" t="s">
        <v>71</v>
      </c>
      <c r="W34" s="63" t="s">
        <v>65</v>
      </c>
      <c r="X34" s="64" t="s">
        <v>73</v>
      </c>
      <c r="Y34" s="62" t="s">
        <v>71</v>
      </c>
      <c r="Z34" s="63" t="s">
        <v>65</v>
      </c>
      <c r="AA34" s="64" t="s">
        <v>73</v>
      </c>
    </row>
    <row r="35" spans="3:52" x14ac:dyDescent="0.25">
      <c r="C35" s="193" t="s">
        <v>152</v>
      </c>
      <c r="D35" s="156">
        <f t="shared" ref="D35:F41" si="0">D22</f>
        <v>7</v>
      </c>
      <c r="E35" s="35">
        <f t="shared" si="0"/>
        <v>9</v>
      </c>
      <c r="F35" s="35">
        <f t="shared" si="0"/>
        <v>17</v>
      </c>
      <c r="G35" s="45">
        <f t="shared" ref="G35:I41" si="1">D9</f>
        <v>4.0000000000000072E-4</v>
      </c>
      <c r="H35" s="45">
        <f t="shared" si="1"/>
        <v>1.6000000000000029E-3</v>
      </c>
      <c r="I35" s="45">
        <f t="shared" si="1"/>
        <v>3.6000000000000064E-3</v>
      </c>
      <c r="J35" s="35">
        <f t="shared" ref="J35:L41" si="2">G22</f>
        <v>7</v>
      </c>
      <c r="K35" s="35">
        <f t="shared" si="2"/>
        <v>9.5990399999999987</v>
      </c>
      <c r="L35" s="35">
        <f t="shared" si="2"/>
        <v>18.992799999999999</v>
      </c>
      <c r="M35" s="45">
        <f t="shared" ref="M35:O41" si="3">G9</f>
        <v>4.0000000000000072E-4</v>
      </c>
      <c r="N35" s="45">
        <f t="shared" si="3"/>
        <v>1.6000000000000029E-3</v>
      </c>
      <c r="O35" s="45">
        <f t="shared" si="3"/>
        <v>3.6000000000000064E-3</v>
      </c>
      <c r="P35" s="35">
        <f t="shared" ref="P35:R41" si="4">J22</f>
        <v>18.995200000000001</v>
      </c>
      <c r="Q35" s="35">
        <f t="shared" si="4"/>
        <v>34.958399999999997</v>
      </c>
      <c r="R35" s="35">
        <f t="shared" si="4"/>
        <v>52.870399999999997</v>
      </c>
      <c r="S35" s="45">
        <f t="shared" ref="S35:U41" si="5">J9</f>
        <v>4.0000000000000072E-4</v>
      </c>
      <c r="T35" s="45">
        <f t="shared" si="5"/>
        <v>1.6000000000000029E-3</v>
      </c>
      <c r="U35" s="45">
        <f t="shared" si="5"/>
        <v>3.6000000000000064E-3</v>
      </c>
      <c r="V35" s="47">
        <f t="shared" ref="V35:X41" si="6">M22</f>
        <v>5.9984000000000002</v>
      </c>
      <c r="W35" s="47">
        <f t="shared" si="6"/>
        <v>14.982399999999998</v>
      </c>
      <c r="X35" s="47">
        <f t="shared" si="6"/>
        <v>42.888399999999997</v>
      </c>
      <c r="Y35" s="181">
        <f t="shared" ref="Y35:AA41" si="7">M9</f>
        <v>4.0000000000000072E-4</v>
      </c>
      <c r="Z35" s="182">
        <f t="shared" si="7"/>
        <v>1.6000000000000029E-3</v>
      </c>
      <c r="AA35" s="183">
        <f t="shared" si="7"/>
        <v>3.6000000000000064E-3</v>
      </c>
    </row>
    <row r="36" spans="3:52" x14ac:dyDescent="0.25">
      <c r="C36" s="194" t="s">
        <v>153</v>
      </c>
      <c r="D36" s="156">
        <f t="shared" si="0"/>
        <v>9</v>
      </c>
      <c r="E36" s="35">
        <f t="shared" si="0"/>
        <v>11</v>
      </c>
      <c r="F36" s="35">
        <f t="shared" si="0"/>
        <v>19</v>
      </c>
      <c r="G36" s="45">
        <f t="shared" si="1"/>
        <v>7.8400000000000011E-2</v>
      </c>
      <c r="H36" s="45">
        <f t="shared" si="1"/>
        <v>0.23193856000000002</v>
      </c>
      <c r="I36" s="45">
        <f t="shared" si="1"/>
        <v>0.31360000000000005</v>
      </c>
      <c r="J36" s="35">
        <f t="shared" si="2"/>
        <v>9</v>
      </c>
      <c r="K36" s="35">
        <f t="shared" si="2"/>
        <v>11.460836863999999</v>
      </c>
      <c r="L36" s="35">
        <f t="shared" si="2"/>
        <v>20.372799999999998</v>
      </c>
      <c r="M36" s="45">
        <f t="shared" si="3"/>
        <v>7.8400000000000011E-2</v>
      </c>
      <c r="N36" s="45">
        <f t="shared" si="3"/>
        <v>0.23193856000000002</v>
      </c>
      <c r="O36" s="45">
        <f t="shared" si="3"/>
        <v>0.31360000000000005</v>
      </c>
      <c r="P36" s="35">
        <f t="shared" si="4"/>
        <v>20.059200000000001</v>
      </c>
      <c r="Q36" s="35">
        <f t="shared" si="4"/>
        <v>30.969597440000001</v>
      </c>
      <c r="R36" s="35">
        <f t="shared" si="4"/>
        <v>43.710399999999993</v>
      </c>
      <c r="S36" s="45">
        <f t="shared" si="5"/>
        <v>7.8400000000000011E-2</v>
      </c>
      <c r="T36" s="45">
        <f t="shared" si="5"/>
        <v>0.23193856000000002</v>
      </c>
      <c r="U36" s="45">
        <f t="shared" si="5"/>
        <v>0.31360000000000005</v>
      </c>
      <c r="V36" s="48">
        <f t="shared" si="6"/>
        <v>7.6863999999999999</v>
      </c>
      <c r="W36" s="48">
        <f t="shared" si="6"/>
        <v>14.44867584</v>
      </c>
      <c r="X36" s="48">
        <f t="shared" si="6"/>
        <v>35.278399999999998</v>
      </c>
      <c r="Y36" s="184">
        <f t="shared" si="7"/>
        <v>7.8400000000000011E-2</v>
      </c>
      <c r="Z36" s="45">
        <f t="shared" si="7"/>
        <v>0.23193856000000002</v>
      </c>
      <c r="AA36" s="185">
        <f t="shared" si="7"/>
        <v>0.31360000000000005</v>
      </c>
    </row>
    <row r="37" spans="3:52" x14ac:dyDescent="0.25">
      <c r="C37" s="193" t="s">
        <v>147</v>
      </c>
      <c r="D37" s="156">
        <f t="shared" si="0"/>
        <v>6</v>
      </c>
      <c r="E37" s="35">
        <f t="shared" si="0"/>
        <v>7</v>
      </c>
      <c r="F37" s="35">
        <f t="shared" si="0"/>
        <v>11</v>
      </c>
      <c r="G37" s="45">
        <f t="shared" si="1"/>
        <v>2.0000000000000018E-2</v>
      </c>
      <c r="H37" s="45">
        <f t="shared" si="1"/>
        <v>4.0000000000000036E-2</v>
      </c>
      <c r="I37" s="45">
        <f t="shared" si="1"/>
        <v>6.0000000000000053E-2</v>
      </c>
      <c r="J37" s="35">
        <f t="shared" si="2"/>
        <v>6</v>
      </c>
      <c r="K37" s="35">
        <f t="shared" si="2"/>
        <v>7.5759999999999996</v>
      </c>
      <c r="L37" s="35">
        <f t="shared" si="2"/>
        <v>12.879999999999999</v>
      </c>
      <c r="M37" s="45">
        <f t="shared" si="3"/>
        <v>2.0000000000000018E-2</v>
      </c>
      <c r="N37" s="45">
        <f t="shared" si="3"/>
        <v>4.0000000000000036E-2</v>
      </c>
      <c r="O37" s="45">
        <f t="shared" si="3"/>
        <v>6.0000000000000053E-2</v>
      </c>
      <c r="P37" s="35">
        <f t="shared" si="4"/>
        <v>17.760000000000002</v>
      </c>
      <c r="Q37" s="35">
        <f t="shared" si="4"/>
        <v>31.96</v>
      </c>
      <c r="R37" s="35">
        <f t="shared" si="4"/>
        <v>44.84</v>
      </c>
      <c r="S37" s="45">
        <f t="shared" si="5"/>
        <v>2.0000000000000018E-2</v>
      </c>
      <c r="T37" s="45">
        <f t="shared" si="5"/>
        <v>4.0000000000000036E-2</v>
      </c>
      <c r="U37" s="45">
        <f t="shared" si="5"/>
        <v>6.0000000000000053E-2</v>
      </c>
      <c r="V37" s="48">
        <f t="shared" si="6"/>
        <v>4.92</v>
      </c>
      <c r="W37" s="48">
        <f t="shared" si="6"/>
        <v>12.56</v>
      </c>
      <c r="X37" s="48">
        <f t="shared" si="6"/>
        <v>35.14</v>
      </c>
      <c r="Y37" s="184">
        <f t="shared" si="7"/>
        <v>2.0000000000000018E-2</v>
      </c>
      <c r="Z37" s="45">
        <f t="shared" si="7"/>
        <v>4.0000000000000036E-2</v>
      </c>
      <c r="AA37" s="185">
        <f t="shared" si="7"/>
        <v>6.0000000000000053E-2</v>
      </c>
    </row>
    <row r="38" spans="3:52" x14ac:dyDescent="0.25">
      <c r="C38" s="193" t="s">
        <v>154</v>
      </c>
      <c r="D38" s="156">
        <f t="shared" si="0"/>
        <v>7</v>
      </c>
      <c r="E38" s="35">
        <f t="shared" si="0"/>
        <v>8</v>
      </c>
      <c r="F38" s="35">
        <f t="shared" si="0"/>
        <v>12</v>
      </c>
      <c r="G38" s="45">
        <f>D12</f>
        <v>0.28000000000000003</v>
      </c>
      <c r="H38" s="45">
        <f t="shared" si="1"/>
        <v>0.48160000000000003</v>
      </c>
      <c r="I38" s="45">
        <f t="shared" si="1"/>
        <v>0.56000000000000005</v>
      </c>
      <c r="J38" s="35">
        <f t="shared" si="2"/>
        <v>7</v>
      </c>
      <c r="K38" s="35">
        <f t="shared" si="2"/>
        <v>8.3110400000000002</v>
      </c>
      <c r="L38" s="35">
        <f t="shared" si="2"/>
        <v>12.879999999999999</v>
      </c>
      <c r="M38" s="45">
        <f t="shared" si="3"/>
        <v>0.28000000000000003</v>
      </c>
      <c r="N38" s="45">
        <f t="shared" si="3"/>
        <v>0.48160000000000003</v>
      </c>
      <c r="O38" s="45">
        <f t="shared" si="3"/>
        <v>0.56000000000000005</v>
      </c>
      <c r="P38" s="35">
        <f t="shared" si="4"/>
        <v>15.64</v>
      </c>
      <c r="Q38" s="35">
        <f t="shared" si="4"/>
        <v>21.478400000000001</v>
      </c>
      <c r="R38" s="35">
        <f t="shared" si="4"/>
        <v>27.839999999999996</v>
      </c>
      <c r="S38" s="45">
        <f t="shared" si="5"/>
        <v>0.28000000000000003</v>
      </c>
      <c r="T38" s="45">
        <f t="shared" si="5"/>
        <v>0.48160000000000003</v>
      </c>
      <c r="U38" s="45">
        <f t="shared" si="5"/>
        <v>0.56000000000000005</v>
      </c>
      <c r="V38" s="48">
        <f t="shared" si="6"/>
        <v>4.8800000000000008</v>
      </c>
      <c r="W38" s="48">
        <f t="shared" si="6"/>
        <v>8.7024000000000008</v>
      </c>
      <c r="X38" s="48">
        <f t="shared" si="6"/>
        <v>20.64</v>
      </c>
      <c r="Y38" s="184">
        <f t="shared" si="7"/>
        <v>0.28000000000000003</v>
      </c>
      <c r="Z38" s="45">
        <f t="shared" si="7"/>
        <v>0.48160000000000003</v>
      </c>
      <c r="AA38" s="185">
        <f t="shared" si="7"/>
        <v>0.56000000000000005</v>
      </c>
    </row>
    <row r="39" spans="3:52" x14ac:dyDescent="0.25">
      <c r="C39" s="193" t="s">
        <v>142</v>
      </c>
      <c r="D39" s="156">
        <f t="shared" si="0"/>
        <v>14</v>
      </c>
      <c r="E39" s="35">
        <f>F26</f>
        <v>14</v>
      </c>
      <c r="F39" s="35">
        <f>G26</f>
        <v>14</v>
      </c>
      <c r="G39" s="45">
        <f t="shared" si="1"/>
        <v>0</v>
      </c>
      <c r="H39" s="45">
        <f t="shared" si="1"/>
        <v>0</v>
      </c>
      <c r="I39" s="45">
        <f t="shared" si="1"/>
        <v>0</v>
      </c>
      <c r="J39" s="35">
        <f t="shared" si="2"/>
        <v>14</v>
      </c>
      <c r="K39" s="35">
        <f t="shared" si="2"/>
        <v>14</v>
      </c>
      <c r="L39" s="35">
        <f t="shared" si="2"/>
        <v>14</v>
      </c>
      <c r="M39" s="45">
        <f t="shared" si="3"/>
        <v>0</v>
      </c>
      <c r="N39" s="45">
        <f t="shared" si="3"/>
        <v>0</v>
      </c>
      <c r="O39" s="45">
        <f t="shared" si="3"/>
        <v>0</v>
      </c>
      <c r="P39" s="35">
        <f t="shared" si="4"/>
        <v>14</v>
      </c>
      <c r="Q39" s="35">
        <f t="shared" si="4"/>
        <v>14</v>
      </c>
      <c r="R39" s="35">
        <f t="shared" si="4"/>
        <v>14</v>
      </c>
      <c r="S39" s="45">
        <f t="shared" si="5"/>
        <v>0.17647058823529416</v>
      </c>
      <c r="T39" s="45">
        <f t="shared" si="5"/>
        <v>0.54838709677419351</v>
      </c>
      <c r="U39" s="45">
        <f t="shared" si="5"/>
        <v>0.65853658536585358</v>
      </c>
      <c r="V39" s="48">
        <f t="shared" si="6"/>
        <v>14</v>
      </c>
      <c r="W39" s="48">
        <f t="shared" si="6"/>
        <v>14</v>
      </c>
      <c r="X39" s="48">
        <f t="shared" si="6"/>
        <v>14</v>
      </c>
      <c r="Y39" s="184">
        <f t="shared" si="7"/>
        <v>0</v>
      </c>
      <c r="Z39" s="45">
        <f t="shared" si="7"/>
        <v>0</v>
      </c>
      <c r="AA39" s="185">
        <f t="shared" si="7"/>
        <v>0.54838709677419351</v>
      </c>
    </row>
    <row r="40" spans="3:52" x14ac:dyDescent="0.25">
      <c r="C40" s="193" t="s">
        <v>155</v>
      </c>
      <c r="D40" s="156">
        <f t="shared" si="0"/>
        <v>7</v>
      </c>
      <c r="E40" s="35">
        <f t="shared" si="0"/>
        <v>7</v>
      </c>
      <c r="F40" s="35">
        <f t="shared" si="0"/>
        <v>7</v>
      </c>
      <c r="G40" s="45">
        <f t="shared" si="1"/>
        <v>0</v>
      </c>
      <c r="H40" s="45">
        <f t="shared" si="1"/>
        <v>0</v>
      </c>
      <c r="I40" s="45">
        <f t="shared" si="1"/>
        <v>0</v>
      </c>
      <c r="J40" s="35">
        <f t="shared" si="2"/>
        <v>7</v>
      </c>
      <c r="K40" s="35">
        <f t="shared" si="2"/>
        <v>7</v>
      </c>
      <c r="L40" s="35">
        <f t="shared" si="2"/>
        <v>7</v>
      </c>
      <c r="M40" s="45">
        <f t="shared" si="3"/>
        <v>0</v>
      </c>
      <c r="N40" s="45">
        <f t="shared" si="3"/>
        <v>0</v>
      </c>
      <c r="O40" s="45">
        <f t="shared" si="3"/>
        <v>0</v>
      </c>
      <c r="P40" s="35">
        <f>J27</f>
        <v>7</v>
      </c>
      <c r="Q40" s="35">
        <f>K27</f>
        <v>7</v>
      </c>
      <c r="R40" s="35">
        <f>L27</f>
        <v>7</v>
      </c>
      <c r="S40" s="45">
        <f t="shared" si="5"/>
        <v>1</v>
      </c>
      <c r="T40" s="45">
        <f t="shared" si="5"/>
        <v>1</v>
      </c>
      <c r="U40" s="45">
        <f t="shared" si="5"/>
        <v>1</v>
      </c>
      <c r="V40" s="48" t="str">
        <f t="shared" si="6"/>
        <v>-</v>
      </c>
      <c r="W40" s="48" t="str">
        <f t="shared" si="6"/>
        <v>-</v>
      </c>
      <c r="X40" s="48" t="str">
        <f t="shared" si="6"/>
        <v>-</v>
      </c>
      <c r="Y40" s="184" t="str">
        <f t="shared" si="7"/>
        <v>-</v>
      </c>
      <c r="Z40" s="45" t="str">
        <f t="shared" si="7"/>
        <v>-</v>
      </c>
      <c r="AA40" s="185" t="str">
        <f t="shared" si="7"/>
        <v>-</v>
      </c>
    </row>
    <row r="41" spans="3:52" ht="15.75" thickBot="1" x14ac:dyDescent="0.3">
      <c r="C41" s="195" t="s">
        <v>143</v>
      </c>
      <c r="D41" s="190">
        <f t="shared" si="0"/>
        <v>2</v>
      </c>
      <c r="E41" s="36">
        <f t="shared" si="0"/>
        <v>4.5999999999999996</v>
      </c>
      <c r="F41" s="36">
        <f t="shared" si="0"/>
        <v>6</v>
      </c>
      <c r="G41" s="46">
        <f t="shared" si="1"/>
        <v>0</v>
      </c>
      <c r="H41" s="46">
        <f t="shared" si="1"/>
        <v>0</v>
      </c>
      <c r="I41" s="46">
        <f t="shared" si="1"/>
        <v>0</v>
      </c>
      <c r="J41" s="36">
        <f t="shared" si="2"/>
        <v>4</v>
      </c>
      <c r="K41" s="36">
        <f t="shared" si="2"/>
        <v>6.6</v>
      </c>
      <c r="L41" s="36">
        <f t="shared" si="2"/>
        <v>8</v>
      </c>
      <c r="M41" s="46">
        <f t="shared" si="3"/>
        <v>0</v>
      </c>
      <c r="N41" s="46">
        <f t="shared" si="3"/>
        <v>0</v>
      </c>
      <c r="O41" s="46">
        <f t="shared" si="3"/>
        <v>0</v>
      </c>
      <c r="P41" s="36">
        <f t="shared" si="4"/>
        <v>2</v>
      </c>
      <c r="Q41" s="36">
        <f t="shared" si="4"/>
        <v>11</v>
      </c>
      <c r="R41" s="36">
        <f t="shared" si="4"/>
        <v>42</v>
      </c>
      <c r="S41" s="46">
        <f t="shared" si="5"/>
        <v>0</v>
      </c>
      <c r="T41" s="46">
        <f t="shared" si="5"/>
        <v>0.64516129032258063</v>
      </c>
      <c r="U41" s="46">
        <f t="shared" si="5"/>
        <v>0.88235294117647056</v>
      </c>
      <c r="V41" s="49">
        <f t="shared" si="6"/>
        <v>2</v>
      </c>
      <c r="W41" s="49">
        <f t="shared" si="6"/>
        <v>6</v>
      </c>
      <c r="X41" s="49">
        <f t="shared" si="6"/>
        <v>31</v>
      </c>
      <c r="Y41" s="186">
        <f t="shared" si="7"/>
        <v>0</v>
      </c>
      <c r="Z41" s="187">
        <f t="shared" si="7"/>
        <v>0.45454545454545459</v>
      </c>
      <c r="AA41" s="188">
        <f t="shared" si="7"/>
        <v>0.5</v>
      </c>
    </row>
    <row r="43" spans="3:52" ht="15.75" customHeight="1" thickBot="1" x14ac:dyDescent="0.3">
      <c r="AT43" s="65"/>
      <c r="AU43" s="65"/>
      <c r="AV43" s="65"/>
      <c r="AW43" s="65"/>
      <c r="AX43" s="65"/>
      <c r="AY43" s="65"/>
      <c r="AZ43" s="65"/>
    </row>
    <row r="44" spans="3:52" ht="15.75" thickBot="1" x14ac:dyDescent="0.3">
      <c r="C44" s="33" t="s">
        <v>6</v>
      </c>
      <c r="D44" s="268" t="s">
        <v>53</v>
      </c>
      <c r="E44" s="269"/>
      <c r="F44" s="269"/>
      <c r="G44" s="269"/>
      <c r="H44" s="269"/>
      <c r="I44" s="270"/>
      <c r="J44" s="268" t="s">
        <v>54</v>
      </c>
      <c r="K44" s="269"/>
      <c r="L44" s="269"/>
      <c r="M44" s="269"/>
      <c r="N44" s="269"/>
      <c r="O44" s="270"/>
      <c r="P44" s="257" t="s">
        <v>52</v>
      </c>
      <c r="Q44" s="258"/>
      <c r="R44" s="258"/>
      <c r="S44" s="258"/>
      <c r="T44" s="258"/>
      <c r="U44" s="259"/>
      <c r="V44" s="257" t="s">
        <v>51</v>
      </c>
      <c r="W44" s="258"/>
      <c r="X44" s="258"/>
      <c r="Y44" s="258"/>
      <c r="Z44" s="258"/>
      <c r="AA44" s="259"/>
      <c r="AB44" s="260" t="s">
        <v>1</v>
      </c>
      <c r="AC44" s="261"/>
      <c r="AD44" s="261"/>
      <c r="AE44" s="261"/>
      <c r="AF44" s="261"/>
      <c r="AG44" s="262"/>
      <c r="AH44" s="257" t="s">
        <v>159</v>
      </c>
      <c r="AI44" s="258"/>
      <c r="AJ44" s="258"/>
      <c r="AK44" s="258"/>
      <c r="AL44" s="258"/>
      <c r="AM44" s="259"/>
      <c r="AN44" s="257" t="s">
        <v>0</v>
      </c>
      <c r="AO44" s="258"/>
      <c r="AP44" s="258"/>
      <c r="AQ44" s="263"/>
      <c r="AR44" s="263"/>
      <c r="AS44" s="264"/>
      <c r="AT44" s="65"/>
      <c r="AU44" s="65"/>
      <c r="AV44" s="65"/>
      <c r="AW44" s="65"/>
      <c r="AX44" s="65"/>
      <c r="AY44" s="65"/>
      <c r="AZ44" s="65"/>
    </row>
    <row r="45" spans="3:52" ht="15.75" customHeight="1" thickBot="1" x14ac:dyDescent="0.3">
      <c r="C45" s="30" t="s">
        <v>61</v>
      </c>
      <c r="D45" s="254" t="s">
        <v>46</v>
      </c>
      <c r="E45" s="255"/>
      <c r="F45" s="256"/>
      <c r="G45" s="254" t="s">
        <v>72</v>
      </c>
      <c r="H45" s="255"/>
      <c r="I45" s="256"/>
      <c r="J45" s="251" t="s">
        <v>46</v>
      </c>
      <c r="K45" s="252"/>
      <c r="L45" s="253"/>
      <c r="M45" s="251" t="s">
        <v>72</v>
      </c>
      <c r="N45" s="252"/>
      <c r="O45" s="253"/>
      <c r="P45" s="251" t="s">
        <v>46</v>
      </c>
      <c r="Q45" s="252"/>
      <c r="R45" s="253"/>
      <c r="S45" s="251" t="s">
        <v>72</v>
      </c>
      <c r="T45" s="252"/>
      <c r="U45" s="252"/>
      <c r="V45" s="254" t="s">
        <v>46</v>
      </c>
      <c r="W45" s="255"/>
      <c r="X45" s="256"/>
      <c r="Y45" s="255" t="s">
        <v>72</v>
      </c>
      <c r="Z45" s="255"/>
      <c r="AA45" s="256"/>
      <c r="AB45" s="254" t="s">
        <v>46</v>
      </c>
      <c r="AC45" s="255"/>
      <c r="AD45" s="256"/>
      <c r="AE45" s="254" t="s">
        <v>72</v>
      </c>
      <c r="AF45" s="255"/>
      <c r="AG45" s="256"/>
      <c r="AH45" s="251" t="s">
        <v>46</v>
      </c>
      <c r="AI45" s="252"/>
      <c r="AJ45" s="253"/>
      <c r="AK45" s="251" t="s">
        <v>72</v>
      </c>
      <c r="AL45" s="252"/>
      <c r="AM45" s="253"/>
      <c r="AN45" s="251" t="s">
        <v>46</v>
      </c>
      <c r="AO45" s="252"/>
      <c r="AP45" s="252"/>
      <c r="AQ45" s="251" t="s">
        <v>72</v>
      </c>
      <c r="AR45" s="252"/>
      <c r="AS45" s="253"/>
      <c r="AT45" s="65"/>
      <c r="AU45" s="65"/>
      <c r="AV45" s="65"/>
      <c r="AW45" s="65"/>
      <c r="AX45" s="65"/>
      <c r="AY45" s="65"/>
      <c r="AZ45" s="65"/>
    </row>
    <row r="46" spans="3:52" ht="15.75" thickBot="1" x14ac:dyDescent="0.3">
      <c r="C46" s="30" t="s">
        <v>74</v>
      </c>
      <c r="D46" s="62" t="s">
        <v>71</v>
      </c>
      <c r="E46" s="63" t="s">
        <v>65</v>
      </c>
      <c r="F46" s="64" t="s">
        <v>73</v>
      </c>
      <c r="G46" s="62" t="s">
        <v>71</v>
      </c>
      <c r="H46" s="63" t="s">
        <v>65</v>
      </c>
      <c r="I46" s="64" t="s">
        <v>73</v>
      </c>
      <c r="J46" s="62" t="s">
        <v>71</v>
      </c>
      <c r="K46" s="63" t="s">
        <v>65</v>
      </c>
      <c r="L46" s="64" t="s">
        <v>73</v>
      </c>
      <c r="M46" s="62" t="s">
        <v>71</v>
      </c>
      <c r="N46" s="63" t="s">
        <v>65</v>
      </c>
      <c r="O46" s="64" t="s">
        <v>73</v>
      </c>
      <c r="P46" s="62" t="s">
        <v>71</v>
      </c>
      <c r="Q46" s="63" t="s">
        <v>65</v>
      </c>
      <c r="R46" s="64" t="s">
        <v>73</v>
      </c>
      <c r="S46" s="62" t="s">
        <v>71</v>
      </c>
      <c r="T46" s="63" t="s">
        <v>65</v>
      </c>
      <c r="U46" s="64" t="s">
        <v>73</v>
      </c>
      <c r="V46" s="62" t="s">
        <v>71</v>
      </c>
      <c r="W46" s="63" t="s">
        <v>65</v>
      </c>
      <c r="X46" s="64" t="s">
        <v>73</v>
      </c>
      <c r="Y46" s="62" t="s">
        <v>71</v>
      </c>
      <c r="Z46" s="63" t="s">
        <v>65</v>
      </c>
      <c r="AA46" s="64" t="s">
        <v>73</v>
      </c>
      <c r="AB46" s="62" t="s">
        <v>71</v>
      </c>
      <c r="AC46" s="63" t="s">
        <v>65</v>
      </c>
      <c r="AD46" s="64" t="s">
        <v>73</v>
      </c>
      <c r="AE46" s="62" t="s">
        <v>71</v>
      </c>
      <c r="AF46" s="63" t="s">
        <v>65</v>
      </c>
      <c r="AG46" s="64" t="s">
        <v>73</v>
      </c>
      <c r="AH46" s="62" t="s">
        <v>71</v>
      </c>
      <c r="AI46" s="63" t="s">
        <v>65</v>
      </c>
      <c r="AJ46" s="64" t="s">
        <v>73</v>
      </c>
      <c r="AK46" s="62" t="s">
        <v>71</v>
      </c>
      <c r="AL46" s="63" t="s">
        <v>65</v>
      </c>
      <c r="AM46" s="64" t="s">
        <v>73</v>
      </c>
      <c r="AN46" s="62" t="s">
        <v>71</v>
      </c>
      <c r="AO46" s="63" t="s">
        <v>65</v>
      </c>
      <c r="AP46" s="67" t="s">
        <v>73</v>
      </c>
      <c r="AQ46" s="62" t="s">
        <v>71</v>
      </c>
      <c r="AR46" s="63" t="s">
        <v>65</v>
      </c>
      <c r="AS46" s="64" t="s">
        <v>73</v>
      </c>
      <c r="AT46" s="65"/>
      <c r="AU46" s="65"/>
      <c r="AV46" s="65"/>
      <c r="AW46" s="65"/>
      <c r="AX46" s="65"/>
      <c r="AY46" s="65"/>
      <c r="AZ46" s="65"/>
    </row>
    <row r="47" spans="3:52" x14ac:dyDescent="0.25">
      <c r="C47" s="31" t="s">
        <v>41</v>
      </c>
      <c r="D47" s="35">
        <f>E35-D35</f>
        <v>2</v>
      </c>
      <c r="E47" s="35">
        <f>E35</f>
        <v>9</v>
      </c>
      <c r="F47" s="35">
        <f>F35-E35</f>
        <v>8</v>
      </c>
      <c r="G47" s="37">
        <f>H35-G35</f>
        <v>1.2000000000000023E-3</v>
      </c>
      <c r="H47" s="37">
        <f>H35</f>
        <v>1.6000000000000029E-3</v>
      </c>
      <c r="I47" s="37">
        <f>I35-H35</f>
        <v>2.0000000000000035E-3</v>
      </c>
      <c r="J47" s="35">
        <f>E36-D36</f>
        <v>2</v>
      </c>
      <c r="K47" s="35">
        <f>E36</f>
        <v>11</v>
      </c>
      <c r="L47" s="35">
        <f>F36-E36</f>
        <v>8</v>
      </c>
      <c r="M47" s="37">
        <f>H36-G36</f>
        <v>0.15353855999999999</v>
      </c>
      <c r="N47" s="37">
        <f>H36</f>
        <v>0.23193856000000002</v>
      </c>
      <c r="O47" s="37">
        <f>I36-H36</f>
        <v>8.166144000000003E-2</v>
      </c>
      <c r="P47" s="35">
        <f>E37-D37</f>
        <v>1</v>
      </c>
      <c r="Q47" s="35">
        <f>E37</f>
        <v>7</v>
      </c>
      <c r="R47" s="35">
        <f>F37-E37</f>
        <v>4</v>
      </c>
      <c r="S47" s="37">
        <f>H37-G37</f>
        <v>2.0000000000000018E-2</v>
      </c>
      <c r="T47" s="37">
        <f>H37</f>
        <v>4.0000000000000036E-2</v>
      </c>
      <c r="U47" s="37">
        <f>I37-H37</f>
        <v>2.0000000000000018E-2</v>
      </c>
      <c r="V47" s="222">
        <f>E38-D38</f>
        <v>1</v>
      </c>
      <c r="W47" s="222">
        <f>E38</f>
        <v>8</v>
      </c>
      <c r="X47" s="222">
        <f>F38-E38</f>
        <v>4</v>
      </c>
      <c r="Y47" s="37">
        <f>H38-G38</f>
        <v>0.2016</v>
      </c>
      <c r="Z47" s="37">
        <f>H38</f>
        <v>0.48160000000000003</v>
      </c>
      <c r="AA47" s="37">
        <f>I38-H38</f>
        <v>7.8400000000000025E-2</v>
      </c>
      <c r="AB47" s="35">
        <f>E39-D39</f>
        <v>0</v>
      </c>
      <c r="AC47" s="35">
        <f>E39</f>
        <v>14</v>
      </c>
      <c r="AD47" s="35">
        <f>F39-E39</f>
        <v>0</v>
      </c>
      <c r="AE47" s="37">
        <f>H39-G39</f>
        <v>0</v>
      </c>
      <c r="AF47" s="37">
        <f>H39</f>
        <v>0</v>
      </c>
      <c r="AG47" s="37">
        <f>I39-H39</f>
        <v>0</v>
      </c>
      <c r="AH47" s="35">
        <f>E40-D40</f>
        <v>0</v>
      </c>
      <c r="AI47" s="35">
        <f>E40</f>
        <v>7</v>
      </c>
      <c r="AJ47" s="35">
        <f>F40-E40</f>
        <v>0</v>
      </c>
      <c r="AK47" s="37">
        <f>H40-G40</f>
        <v>0</v>
      </c>
      <c r="AL47" s="37">
        <f>H40</f>
        <v>0</v>
      </c>
      <c r="AM47" s="37">
        <f>I40-H40</f>
        <v>0</v>
      </c>
      <c r="AN47" s="35">
        <f>E41-D41</f>
        <v>2.5999999999999996</v>
      </c>
      <c r="AO47" s="35">
        <f>E41</f>
        <v>4.5999999999999996</v>
      </c>
      <c r="AP47" s="35">
        <f>F41-E41</f>
        <v>1.4000000000000004</v>
      </c>
      <c r="AQ47" s="68">
        <f>H41-G41</f>
        <v>0</v>
      </c>
      <c r="AR47" s="58">
        <f>H41</f>
        <v>0</v>
      </c>
      <c r="AS47" s="69">
        <f>I41-H41</f>
        <v>0</v>
      </c>
      <c r="AT47" s="65"/>
      <c r="AU47" s="65"/>
      <c r="AV47" s="65"/>
      <c r="AW47" s="65"/>
      <c r="AX47" s="65"/>
      <c r="AY47" s="65"/>
      <c r="AZ47" s="65"/>
    </row>
    <row r="48" spans="3:52" x14ac:dyDescent="0.25">
      <c r="C48" s="31" t="s">
        <v>42</v>
      </c>
      <c r="D48" s="35">
        <f>K35-J35</f>
        <v>2.5990399999999987</v>
      </c>
      <c r="E48" s="35">
        <f>K35</f>
        <v>9.5990399999999987</v>
      </c>
      <c r="F48" s="35">
        <f>L35-K35</f>
        <v>9.3937600000000003</v>
      </c>
      <c r="G48" s="38">
        <f>N35-M35</f>
        <v>1.2000000000000023E-3</v>
      </c>
      <c r="H48" s="38">
        <f>N35</f>
        <v>1.6000000000000029E-3</v>
      </c>
      <c r="I48" s="38">
        <f>O35-N35</f>
        <v>2.0000000000000035E-3</v>
      </c>
      <c r="J48" s="35">
        <f>K36-J36</f>
        <v>2.4608368639999991</v>
      </c>
      <c r="K48" s="35">
        <f>K36</f>
        <v>11.460836863999999</v>
      </c>
      <c r="L48" s="35">
        <f>L36-K36</f>
        <v>8.9119631359999989</v>
      </c>
      <c r="M48" s="38">
        <f>N36-M36</f>
        <v>0.15353855999999999</v>
      </c>
      <c r="N48" s="38">
        <f>N36</f>
        <v>0.23193856000000002</v>
      </c>
      <c r="O48" s="38">
        <f>O36-N36</f>
        <v>8.166144000000003E-2</v>
      </c>
      <c r="P48" s="35">
        <f>K37-J37</f>
        <v>1.5759999999999996</v>
      </c>
      <c r="Q48" s="35">
        <f>K37</f>
        <v>7.5759999999999996</v>
      </c>
      <c r="R48" s="35">
        <f>L37-K37</f>
        <v>5.3039999999999994</v>
      </c>
      <c r="S48" s="38">
        <f>N37-M37</f>
        <v>2.0000000000000018E-2</v>
      </c>
      <c r="T48" s="38">
        <f>N37</f>
        <v>4.0000000000000036E-2</v>
      </c>
      <c r="U48" s="38">
        <f>O37-N37</f>
        <v>2.0000000000000018E-2</v>
      </c>
      <c r="V48" s="222">
        <f>K38-J38</f>
        <v>1.3110400000000002</v>
      </c>
      <c r="W48" s="222">
        <f>K38</f>
        <v>8.3110400000000002</v>
      </c>
      <c r="X48" s="222">
        <f>L38-K38</f>
        <v>4.5689599999999988</v>
      </c>
      <c r="Y48" s="38">
        <f>N38-M38</f>
        <v>0.2016</v>
      </c>
      <c r="Z48" s="38">
        <f>N38</f>
        <v>0.48160000000000003</v>
      </c>
      <c r="AA48" s="38">
        <f>O38-N38</f>
        <v>7.8400000000000025E-2</v>
      </c>
      <c r="AB48" s="35">
        <f>K39-J39</f>
        <v>0</v>
      </c>
      <c r="AC48" s="35">
        <f>K39</f>
        <v>14</v>
      </c>
      <c r="AD48" s="35">
        <f>L39-K39</f>
        <v>0</v>
      </c>
      <c r="AE48" s="38">
        <f>N39-M39</f>
        <v>0</v>
      </c>
      <c r="AF48" s="38">
        <f>N39</f>
        <v>0</v>
      </c>
      <c r="AG48" s="38">
        <f>O39-N39</f>
        <v>0</v>
      </c>
      <c r="AH48" s="35">
        <f>K40-J40</f>
        <v>0</v>
      </c>
      <c r="AI48" s="35">
        <f>K40</f>
        <v>7</v>
      </c>
      <c r="AJ48" s="35">
        <f>L40-K40</f>
        <v>0</v>
      </c>
      <c r="AK48" s="38">
        <f>N40-M40</f>
        <v>0</v>
      </c>
      <c r="AL48" s="38">
        <f>N40</f>
        <v>0</v>
      </c>
      <c r="AM48" s="38">
        <f>O40-N40</f>
        <v>0</v>
      </c>
      <c r="AN48" s="35">
        <f>K41-J41</f>
        <v>2.5999999999999996</v>
      </c>
      <c r="AO48" s="35">
        <f>K41</f>
        <v>6.6</v>
      </c>
      <c r="AP48" s="35">
        <f>L41-K41</f>
        <v>1.4000000000000004</v>
      </c>
      <c r="AQ48" s="68">
        <f>N41-M41</f>
        <v>0</v>
      </c>
      <c r="AR48" s="58">
        <f>N41</f>
        <v>0</v>
      </c>
      <c r="AS48" s="69">
        <f>O41-N41</f>
        <v>0</v>
      </c>
      <c r="AT48" s="65"/>
      <c r="AU48" s="65"/>
      <c r="AV48" s="65"/>
      <c r="AW48" s="65"/>
      <c r="AX48" s="65"/>
      <c r="AY48" s="65"/>
      <c r="AZ48" s="65"/>
    </row>
    <row r="49" spans="3:52" x14ac:dyDescent="0.25">
      <c r="C49" s="31" t="s">
        <v>43</v>
      </c>
      <c r="D49" s="35">
        <f>Q35-P35</f>
        <v>15.963199999999997</v>
      </c>
      <c r="E49" s="35">
        <f>Q35</f>
        <v>34.958399999999997</v>
      </c>
      <c r="F49" s="35">
        <f>R35-Q35</f>
        <v>17.911999999999999</v>
      </c>
      <c r="G49" s="38">
        <f>T35-S35</f>
        <v>1.2000000000000023E-3</v>
      </c>
      <c r="H49" s="38">
        <f>T35</f>
        <v>1.6000000000000029E-3</v>
      </c>
      <c r="I49" s="38">
        <f>U35-T35</f>
        <v>2.0000000000000035E-3</v>
      </c>
      <c r="J49" s="35">
        <f>Q36-P36</f>
        <v>10.910397440000001</v>
      </c>
      <c r="K49" s="35">
        <f>Q36</f>
        <v>30.969597440000001</v>
      </c>
      <c r="L49" s="35">
        <f>R36-Q36</f>
        <v>12.740802559999992</v>
      </c>
      <c r="M49" s="38">
        <f>T36-S36</f>
        <v>0.15353855999999999</v>
      </c>
      <c r="N49" s="38">
        <f>T36</f>
        <v>0.23193856000000002</v>
      </c>
      <c r="O49" s="38">
        <f>U36-T36</f>
        <v>8.166144000000003E-2</v>
      </c>
      <c r="P49" s="35">
        <f>Q37-P37</f>
        <v>14.2</v>
      </c>
      <c r="Q49" s="35">
        <f>Q37</f>
        <v>31.96</v>
      </c>
      <c r="R49" s="35">
        <f>R37-Q37</f>
        <v>12.880000000000003</v>
      </c>
      <c r="S49" s="38">
        <f>T37-S37</f>
        <v>2.0000000000000018E-2</v>
      </c>
      <c r="T49" s="38">
        <f>T37</f>
        <v>4.0000000000000036E-2</v>
      </c>
      <c r="U49" s="38">
        <f>U37-T37</f>
        <v>2.0000000000000018E-2</v>
      </c>
      <c r="V49" s="222">
        <f>Q38-P38</f>
        <v>5.8384</v>
      </c>
      <c r="W49" s="222">
        <f>Q38</f>
        <v>21.478400000000001</v>
      </c>
      <c r="X49" s="222">
        <f>R38-Q38</f>
        <v>6.3615999999999957</v>
      </c>
      <c r="Y49" s="38">
        <f>T38-S38</f>
        <v>0.2016</v>
      </c>
      <c r="Z49" s="38">
        <f>T38</f>
        <v>0.48160000000000003</v>
      </c>
      <c r="AA49" s="38">
        <f>U38-T38</f>
        <v>7.8400000000000025E-2</v>
      </c>
      <c r="AB49" s="35">
        <f>Q39-P39</f>
        <v>0</v>
      </c>
      <c r="AC49" s="35">
        <f>Q39</f>
        <v>14</v>
      </c>
      <c r="AD49" s="35">
        <f>R39-Q39</f>
        <v>0</v>
      </c>
      <c r="AE49" s="38">
        <f>T39-S39</f>
        <v>0.37191650853889935</v>
      </c>
      <c r="AF49" s="38">
        <f>T39</f>
        <v>0.54838709677419351</v>
      </c>
      <c r="AG49" s="38">
        <f>U39-T39</f>
        <v>0.11014948859166007</v>
      </c>
      <c r="AH49" s="35">
        <f>Q40-P40</f>
        <v>0</v>
      </c>
      <c r="AI49" s="35">
        <f>Q40</f>
        <v>7</v>
      </c>
      <c r="AJ49" s="35">
        <f>R40-Q40</f>
        <v>0</v>
      </c>
      <c r="AK49" s="176">
        <f>T40-S40</f>
        <v>0</v>
      </c>
      <c r="AL49" s="176">
        <f>T40</f>
        <v>1</v>
      </c>
      <c r="AM49" s="176">
        <f>U40-T40</f>
        <v>0</v>
      </c>
      <c r="AN49" s="35">
        <f>Q41-P41</f>
        <v>9</v>
      </c>
      <c r="AO49" s="35">
        <f>Q41</f>
        <v>11</v>
      </c>
      <c r="AP49" s="35">
        <f>R41-Q41</f>
        <v>31</v>
      </c>
      <c r="AQ49" s="68">
        <f>T41-S41</f>
        <v>0.64516129032258063</v>
      </c>
      <c r="AR49" s="58">
        <f>T41</f>
        <v>0.64516129032258063</v>
      </c>
      <c r="AS49" s="69">
        <f>U41-T41</f>
        <v>0.23719165085388993</v>
      </c>
      <c r="AT49" s="65"/>
      <c r="AU49" s="65"/>
      <c r="AV49" s="65"/>
      <c r="AW49" s="65"/>
      <c r="AX49" s="65"/>
      <c r="AY49" s="65"/>
      <c r="AZ49" s="65"/>
    </row>
    <row r="50" spans="3:52" ht="15.75" thickBot="1" x14ac:dyDescent="0.3">
      <c r="C50" s="32" t="s">
        <v>44</v>
      </c>
      <c r="D50" s="178">
        <f>E50-V35</f>
        <v>8.9839999999999982</v>
      </c>
      <c r="E50" s="178">
        <f>W35</f>
        <v>14.982399999999998</v>
      </c>
      <c r="F50" s="178">
        <f>X35-W35</f>
        <v>27.905999999999999</v>
      </c>
      <c r="G50" s="179">
        <f>Z35-Y35</f>
        <v>1.2000000000000023E-3</v>
      </c>
      <c r="H50" s="179">
        <f>Z35</f>
        <v>1.6000000000000029E-3</v>
      </c>
      <c r="I50" s="179">
        <f>AA35-Z35</f>
        <v>2.0000000000000035E-3</v>
      </c>
      <c r="J50" s="178">
        <f>W36-V36</f>
        <v>6.76227584</v>
      </c>
      <c r="K50" s="178">
        <f>W36</f>
        <v>14.44867584</v>
      </c>
      <c r="L50" s="178">
        <f>X36-W36</f>
        <v>20.829724159999998</v>
      </c>
      <c r="M50" s="179">
        <f>Z36-Y36</f>
        <v>0.15353855999999999</v>
      </c>
      <c r="N50" s="179">
        <f>Z36</f>
        <v>0.23193856000000002</v>
      </c>
      <c r="O50" s="179">
        <f>AA36-Z36</f>
        <v>8.166144000000003E-2</v>
      </c>
      <c r="P50" s="178">
        <f>W37-V37</f>
        <v>7.6400000000000006</v>
      </c>
      <c r="Q50" s="178">
        <f>W37</f>
        <v>12.56</v>
      </c>
      <c r="R50" s="178">
        <f>X37-W37</f>
        <v>22.58</v>
      </c>
      <c r="S50" s="179">
        <f>Z37-Y37</f>
        <v>2.0000000000000018E-2</v>
      </c>
      <c r="T50" s="179">
        <f>Z37</f>
        <v>4.0000000000000036E-2</v>
      </c>
      <c r="U50" s="179">
        <f>AA37-Z37</f>
        <v>2.0000000000000018E-2</v>
      </c>
      <c r="V50" s="223">
        <f>W38-V38</f>
        <v>3.8224</v>
      </c>
      <c r="W50" s="223">
        <f>W38</f>
        <v>8.7024000000000008</v>
      </c>
      <c r="X50" s="223">
        <f>X38-W38</f>
        <v>11.9376</v>
      </c>
      <c r="Y50" s="179">
        <f>Z38-Y38</f>
        <v>0.2016</v>
      </c>
      <c r="Z50" s="179">
        <f>Z38</f>
        <v>0.48160000000000003</v>
      </c>
      <c r="AA50" s="180">
        <f>AA38-Z38</f>
        <v>7.8400000000000025E-2</v>
      </c>
      <c r="AB50" s="36">
        <f>W39-V39</f>
        <v>0</v>
      </c>
      <c r="AC50" s="36">
        <f>W39</f>
        <v>14</v>
      </c>
      <c r="AD50" s="36">
        <f>X39-W39</f>
        <v>0</v>
      </c>
      <c r="AE50" s="39">
        <f>Z39-Y39</f>
        <v>0</v>
      </c>
      <c r="AF50" s="39">
        <f>Z39</f>
        <v>0</v>
      </c>
      <c r="AG50" s="39">
        <f>AA39-Z39</f>
        <v>0.54838709677419351</v>
      </c>
      <c r="AH50" s="73"/>
      <c r="AI50" s="73"/>
      <c r="AJ50" s="73"/>
      <c r="AK50" s="74"/>
      <c r="AL50" s="74"/>
      <c r="AM50" s="74"/>
      <c r="AN50" s="36">
        <f>W41-V41</f>
        <v>4</v>
      </c>
      <c r="AO50" s="36">
        <f>W41</f>
        <v>6</v>
      </c>
      <c r="AP50" s="36">
        <f>X41-W41</f>
        <v>25</v>
      </c>
      <c r="AQ50" s="70">
        <f>Z41-Y41</f>
        <v>0.45454545454545459</v>
      </c>
      <c r="AR50" s="71">
        <f>Z41</f>
        <v>0.45454545454545459</v>
      </c>
      <c r="AS50" s="72">
        <f>AA41-Z41</f>
        <v>4.5454545454545414E-2</v>
      </c>
      <c r="AT50" s="65"/>
      <c r="AU50" s="65"/>
      <c r="AV50" s="65"/>
      <c r="AW50" s="65"/>
      <c r="AX50" s="65"/>
      <c r="AY50" s="65"/>
      <c r="AZ50" s="65"/>
    </row>
    <row r="51" spans="3:52" ht="15.75" thickBot="1" x14ac:dyDescent="0.3"/>
    <row r="52" spans="3:52" ht="15.75" thickBot="1" x14ac:dyDescent="0.3">
      <c r="C52" s="131" t="s">
        <v>111</v>
      </c>
      <c r="D52" s="132" t="s">
        <v>113</v>
      </c>
      <c r="E52" s="132" t="s">
        <v>114</v>
      </c>
      <c r="F52" s="133" t="s">
        <v>115</v>
      </c>
      <c r="G52" s="135"/>
    </row>
    <row r="53" spans="3:52" x14ac:dyDescent="0.25">
      <c r="C53" s="129" t="str">
        <f>C47</f>
        <v>A</v>
      </c>
      <c r="D53" s="130">
        <f>'Inputs - Treatment'!C24</f>
        <v>0.5</v>
      </c>
      <c r="E53" s="130">
        <f>'Inputs - Treatment'!D24</f>
        <v>0.25</v>
      </c>
      <c r="F53" s="130">
        <f>'Inputs - Treatment'!E24</f>
        <v>0.15</v>
      </c>
      <c r="G53" s="136"/>
    </row>
    <row r="54" spans="3:52" x14ac:dyDescent="0.25">
      <c r="C54" s="129" t="str">
        <f t="shared" ref="C54:C56" si="8">C48</f>
        <v>B</v>
      </c>
      <c r="D54" s="130">
        <f>'Inputs - Treatment'!C25</f>
        <v>0.4</v>
      </c>
      <c r="E54" s="130">
        <f>'Inputs - Treatment'!D25</f>
        <v>0.25</v>
      </c>
      <c r="F54" s="130">
        <f>'Inputs - Treatment'!E25</f>
        <v>0.15</v>
      </c>
      <c r="G54" s="136"/>
    </row>
    <row r="55" spans="3:52" x14ac:dyDescent="0.25">
      <c r="C55" s="129" t="str">
        <f t="shared" si="8"/>
        <v>C</v>
      </c>
      <c r="D55" s="130">
        <f>'Inputs - Treatment'!C26</f>
        <v>0.05</v>
      </c>
      <c r="E55" s="130">
        <f>'Inputs - Treatment'!D26</f>
        <v>0.25</v>
      </c>
      <c r="F55" s="130">
        <f>'Inputs - Treatment'!E26</f>
        <v>0.2</v>
      </c>
      <c r="G55" s="136"/>
    </row>
    <row r="56" spans="3:52" x14ac:dyDescent="0.25">
      <c r="C56" s="129" t="str">
        <f t="shared" si="8"/>
        <v>D</v>
      </c>
      <c r="D56" s="130">
        <f>'Inputs - Treatment'!C27</f>
        <v>0.05</v>
      </c>
      <c r="E56" s="130">
        <f>'Inputs - Treatment'!D27</f>
        <v>0.25</v>
      </c>
      <c r="F56" s="130">
        <f>'Inputs - Treatment'!E27</f>
        <v>0.5</v>
      </c>
    </row>
    <row r="57" spans="3:52" ht="15.75" thickBot="1" x14ac:dyDescent="0.3">
      <c r="C57" s="128"/>
      <c r="D57" s="75"/>
      <c r="E57" s="75"/>
      <c r="F57" s="75"/>
    </row>
    <row r="58" spans="3:52" ht="15.75" thickBot="1" x14ac:dyDescent="0.3">
      <c r="C58" s="134" t="s">
        <v>6</v>
      </c>
      <c r="D58" s="268" t="s">
        <v>53</v>
      </c>
      <c r="E58" s="269"/>
      <c r="F58" s="269"/>
      <c r="G58" s="269"/>
      <c r="H58" s="269"/>
      <c r="I58" s="270"/>
      <c r="J58" s="268" t="s">
        <v>54</v>
      </c>
      <c r="K58" s="269"/>
      <c r="L58" s="269"/>
      <c r="M58" s="269"/>
      <c r="N58" s="269"/>
      <c r="O58" s="270"/>
      <c r="P58" s="257" t="s">
        <v>52</v>
      </c>
      <c r="Q58" s="258"/>
      <c r="R58" s="258"/>
      <c r="S58" s="258"/>
      <c r="T58" s="258"/>
      <c r="U58" s="259"/>
      <c r="V58" s="257" t="s">
        <v>51</v>
      </c>
      <c r="W58" s="258"/>
      <c r="X58" s="258"/>
      <c r="Y58" s="258"/>
      <c r="Z58" s="258"/>
      <c r="AA58" s="259"/>
      <c r="AB58" s="260" t="s">
        <v>1</v>
      </c>
      <c r="AC58" s="261"/>
      <c r="AD58" s="261"/>
      <c r="AE58" s="261"/>
      <c r="AF58" s="261"/>
      <c r="AG58" s="262"/>
      <c r="AH58" s="257" t="s">
        <v>159</v>
      </c>
      <c r="AI58" s="258"/>
      <c r="AJ58" s="258"/>
      <c r="AK58" s="258"/>
      <c r="AL58" s="258"/>
      <c r="AM58" s="259"/>
      <c r="AN58" s="257" t="s">
        <v>0</v>
      </c>
      <c r="AO58" s="258"/>
      <c r="AP58" s="258"/>
      <c r="AQ58" s="263"/>
      <c r="AR58" s="263"/>
      <c r="AS58" s="264"/>
    </row>
    <row r="59" spans="3:52" ht="15.75" thickBot="1" x14ac:dyDescent="0.3">
      <c r="C59" s="137" t="s">
        <v>117</v>
      </c>
      <c r="D59" s="254" t="s">
        <v>46</v>
      </c>
      <c r="E59" s="255"/>
      <c r="F59" s="256"/>
      <c r="G59" s="254" t="s">
        <v>72</v>
      </c>
      <c r="H59" s="255"/>
      <c r="I59" s="256"/>
      <c r="J59" s="251" t="s">
        <v>46</v>
      </c>
      <c r="K59" s="252"/>
      <c r="L59" s="253"/>
      <c r="M59" s="251" t="s">
        <v>72</v>
      </c>
      <c r="N59" s="252"/>
      <c r="O59" s="253"/>
      <c r="P59" s="251" t="s">
        <v>46</v>
      </c>
      <c r="Q59" s="252"/>
      <c r="R59" s="253"/>
      <c r="S59" s="251" t="s">
        <v>72</v>
      </c>
      <c r="T59" s="252"/>
      <c r="U59" s="252"/>
      <c r="V59" s="254" t="s">
        <v>46</v>
      </c>
      <c r="W59" s="255"/>
      <c r="X59" s="256"/>
      <c r="Y59" s="255" t="s">
        <v>72</v>
      </c>
      <c r="Z59" s="255"/>
      <c r="AA59" s="256"/>
      <c r="AB59" s="254" t="s">
        <v>46</v>
      </c>
      <c r="AC59" s="255"/>
      <c r="AD59" s="256"/>
      <c r="AE59" s="254" t="s">
        <v>72</v>
      </c>
      <c r="AF59" s="255"/>
      <c r="AG59" s="256"/>
      <c r="AH59" s="251" t="s">
        <v>46</v>
      </c>
      <c r="AI59" s="252"/>
      <c r="AJ59" s="253"/>
      <c r="AK59" s="251" t="s">
        <v>72</v>
      </c>
      <c r="AL59" s="252"/>
      <c r="AM59" s="253"/>
      <c r="AN59" s="251" t="s">
        <v>46</v>
      </c>
      <c r="AO59" s="252"/>
      <c r="AP59" s="252"/>
      <c r="AQ59" s="254" t="s">
        <v>72</v>
      </c>
      <c r="AR59" s="255"/>
      <c r="AS59" s="256"/>
    </row>
    <row r="60" spans="3:52" ht="15.75" thickBot="1" x14ac:dyDescent="0.3">
      <c r="C60" s="137" t="s">
        <v>74</v>
      </c>
      <c r="D60" s="62" t="s">
        <v>71</v>
      </c>
      <c r="E60" s="63" t="s">
        <v>65</v>
      </c>
      <c r="F60" s="64" t="s">
        <v>73</v>
      </c>
      <c r="G60" s="62" t="s">
        <v>71</v>
      </c>
      <c r="H60" s="63" t="s">
        <v>65</v>
      </c>
      <c r="I60" s="64" t="s">
        <v>73</v>
      </c>
      <c r="J60" s="62" t="s">
        <v>71</v>
      </c>
      <c r="K60" s="63" t="s">
        <v>65</v>
      </c>
      <c r="L60" s="64" t="s">
        <v>73</v>
      </c>
      <c r="M60" s="62" t="s">
        <v>71</v>
      </c>
      <c r="N60" s="63" t="s">
        <v>65</v>
      </c>
      <c r="O60" s="64" t="s">
        <v>73</v>
      </c>
      <c r="P60" s="62" t="s">
        <v>71</v>
      </c>
      <c r="Q60" s="63" t="s">
        <v>65</v>
      </c>
      <c r="R60" s="64" t="s">
        <v>73</v>
      </c>
      <c r="S60" s="62" t="s">
        <v>71</v>
      </c>
      <c r="T60" s="63" t="s">
        <v>65</v>
      </c>
      <c r="U60" s="64" t="s">
        <v>73</v>
      </c>
      <c r="V60" s="62" t="s">
        <v>71</v>
      </c>
      <c r="W60" s="63" t="s">
        <v>65</v>
      </c>
      <c r="X60" s="64" t="s">
        <v>73</v>
      </c>
      <c r="Y60" s="62" t="s">
        <v>71</v>
      </c>
      <c r="Z60" s="63" t="s">
        <v>65</v>
      </c>
      <c r="AA60" s="64" t="s">
        <v>73</v>
      </c>
      <c r="AB60" s="62" t="s">
        <v>71</v>
      </c>
      <c r="AC60" s="63" t="s">
        <v>65</v>
      </c>
      <c r="AD60" s="64" t="s">
        <v>73</v>
      </c>
      <c r="AE60" s="62" t="s">
        <v>71</v>
      </c>
      <c r="AF60" s="63" t="s">
        <v>65</v>
      </c>
      <c r="AG60" s="64" t="s">
        <v>73</v>
      </c>
      <c r="AH60" s="62" t="s">
        <v>71</v>
      </c>
      <c r="AI60" s="63" t="s">
        <v>65</v>
      </c>
      <c r="AJ60" s="64" t="s">
        <v>73</v>
      </c>
      <c r="AK60" s="62" t="s">
        <v>71</v>
      </c>
      <c r="AL60" s="63" t="s">
        <v>65</v>
      </c>
      <c r="AM60" s="64" t="s">
        <v>73</v>
      </c>
      <c r="AN60" s="62" t="s">
        <v>71</v>
      </c>
      <c r="AO60" s="63" t="s">
        <v>65</v>
      </c>
      <c r="AP60" s="67" t="s">
        <v>73</v>
      </c>
      <c r="AQ60" s="126" t="s">
        <v>71</v>
      </c>
      <c r="AR60" s="127" t="s">
        <v>65</v>
      </c>
      <c r="AS60" s="166" t="s">
        <v>73</v>
      </c>
    </row>
    <row r="61" spans="3:52" x14ac:dyDescent="0.25">
      <c r="C61" s="138">
        <v>1</v>
      </c>
      <c r="D61" s="164">
        <f>($D$53)*D47+($D$54)*D48+($D$55)*D49+$D$56*D50</f>
        <v>3.2869759999999992</v>
      </c>
      <c r="E61" s="164">
        <f>($D$53)*E47+($D$54)*E48+($D$55)*E49+E50*$D$56</f>
        <v>10.836656</v>
      </c>
      <c r="F61" s="164">
        <f>($D$53)*F47+($D$54)*F48+($D$55)*F49+$D$56*F50</f>
        <v>10.048404000000001</v>
      </c>
      <c r="G61" s="167">
        <f>($D$53)*G47+($D$54)*G48+($D$55)*G49+G50*$D$56</f>
        <v>1.2000000000000023E-3</v>
      </c>
      <c r="H61" s="45">
        <f>($D$53)*H47+($D$54)*H48+($D$55)*H49+H50*$D$56</f>
        <v>1.6000000000000031E-3</v>
      </c>
      <c r="I61" s="168">
        <f>($D$53)*I47+($D$54)*I48+($D$55)*I49+I50*$D$56</f>
        <v>2.0000000000000035E-3</v>
      </c>
      <c r="J61" s="164">
        <f>($D$53)*J47+($D$54)*J48+($D$55)*J49+$D$56*J50</f>
        <v>2.8679684096</v>
      </c>
      <c r="K61" s="164">
        <f>($D$53)*K47+($D$54)*K48+($D$55)*K49+K50*$D$56</f>
        <v>12.3552484096</v>
      </c>
      <c r="L61" s="164">
        <f>($D$53)*L47+($D$54)*L48+($D$55)*L49+$D$56*L50</f>
        <v>9.2433115903999994</v>
      </c>
      <c r="M61" s="167">
        <f>($D$53)*M47+($D$54)*M48+($D$55)*M49+M50*$D$56</f>
        <v>0.15353855999999999</v>
      </c>
      <c r="N61" s="45">
        <f>($D$53)*N47+($D$54)*N48+($D$55)*N49+N50*$D$56</f>
        <v>0.23193856000000002</v>
      </c>
      <c r="O61" s="168">
        <f>($D$53)*O47+($D$54)*O48+($D$55)*O49+O50*$D$56</f>
        <v>8.1661440000000043E-2</v>
      </c>
      <c r="P61" s="164">
        <f>($D$53)*P47+($D$54)*P48+($D$55)*P49+$D$56*P50</f>
        <v>2.2223999999999999</v>
      </c>
      <c r="Q61" s="164">
        <f>($D$53)*Q47+($D$54)*Q48+($D$55)*Q49+Q50*$D$56</f>
        <v>8.7564000000000011</v>
      </c>
      <c r="R61" s="164">
        <f>($D$53)*R47+($D$54)*R48+($D$55)*R49+$D$56*R50</f>
        <v>5.8946000000000005</v>
      </c>
      <c r="S61" s="167">
        <f>($D$53)*S47+($D$54)*S48+($D$55)*S49+S50*$D$56</f>
        <v>2.0000000000000018E-2</v>
      </c>
      <c r="T61" s="45">
        <f>($D$53)*T47+($D$54)*T48+($D$55)*T49+T50*$D$56</f>
        <v>4.0000000000000036E-2</v>
      </c>
      <c r="U61" s="168">
        <f>($D$53)*U47+($D$54)*U48+($D$55)*U49+U50*$D$56</f>
        <v>2.0000000000000018E-2</v>
      </c>
      <c r="V61" s="164">
        <f>($D$53)*V47+($D$54)*V48+($D$55)*V49+$D$56*V50</f>
        <v>1.5074559999999999</v>
      </c>
      <c r="W61" s="164">
        <f>($D$53)*W47+($D$54)*W48+($D$55)*W49+W50*$D$56</f>
        <v>8.833456</v>
      </c>
      <c r="X61" s="164">
        <f>($D$53)*X47+($D$54)*X48+($D$55)*X49+$D$56*X50</f>
        <v>4.7425439999999996</v>
      </c>
      <c r="Y61" s="167">
        <f>($D$53)*Y47+($D$54)*Y48+($D$55)*Y49+Y50*$D$56</f>
        <v>0.2016</v>
      </c>
      <c r="Z61" s="45">
        <f>($D$53)*Z47+($D$54)*Z48+($D$55)*Z49+Z50*$D$56</f>
        <v>0.48160000000000003</v>
      </c>
      <c r="AA61" s="168">
        <f>($D$53)*AA47+($D$54)*AA48+($D$55)*AA49+AA50*$D$56</f>
        <v>7.8400000000000039E-2</v>
      </c>
      <c r="AB61" s="164">
        <f>($D$53)*AB47+($D$54)*AB48+($D$55)*AB49+$D$56*AB50</f>
        <v>0</v>
      </c>
      <c r="AC61" s="164">
        <f>($D$53)*AC47+($D$54)*AC48+($D$55)*AC49+AC50*$D$56</f>
        <v>14</v>
      </c>
      <c r="AD61" s="164">
        <f>($D$53)*AD47+($D$54)*AD48+($D$55)*AD49+$D$56*AD50</f>
        <v>0</v>
      </c>
      <c r="AE61" s="167">
        <f>($D$53)*AE47+($D$54)*AE48+($D$55)*AE49+AE50*$D$56</f>
        <v>1.8595825426944969E-2</v>
      </c>
      <c r="AF61" s="45">
        <f>($D$53)*AF47+($D$54)*AF48+($D$55)*AF49+AF50*$D$56</f>
        <v>2.7419354838709678E-2</v>
      </c>
      <c r="AG61" s="168">
        <f>($D$53)*AG47+($D$54)*AG48+($D$55)*AG49+AG50*$D$56</f>
        <v>3.2926829268292684E-2</v>
      </c>
      <c r="AH61" s="164">
        <f>($D$53+$D$56/3)*AH47+($D$54+$D$56/3)*AH48+($D$55+$D$56/3)*AH49</f>
        <v>0</v>
      </c>
      <c r="AI61" s="164">
        <f t="shared" ref="AI61:AM61" si="9">($D$53+$D$56/3)*AI47+($D$54+$D$56/3)*AI48+($D$55+$D$56/3)*AI49</f>
        <v>7.0000000000000009</v>
      </c>
      <c r="AJ61" s="164">
        <f t="shared" si="9"/>
        <v>0</v>
      </c>
      <c r="AK61" s="167">
        <f t="shared" si="9"/>
        <v>0</v>
      </c>
      <c r="AL61" s="45">
        <f t="shared" si="9"/>
        <v>6.6666666666666666E-2</v>
      </c>
      <c r="AM61" s="168">
        <f t="shared" si="9"/>
        <v>0</v>
      </c>
      <c r="AN61" s="164">
        <f>($D$53)*AN47+($D$54)*AN48+($D$55)*AN49+D56*AN50</f>
        <v>2.99</v>
      </c>
      <c r="AO61" s="164">
        <f>($D$53)*AO47+($D$54)*AO48+($D$55)*AO49+AO50*$D$56</f>
        <v>5.7899999999999991</v>
      </c>
      <c r="AP61" s="164">
        <f>($D$53)*AP47+($D$54)*AP48+($D$55)*AP49+$D$56*AP50</f>
        <v>4.0600000000000005</v>
      </c>
      <c r="AQ61" s="167">
        <f>($D$53)*AQ47+($D$54)*AQ48+($D$55)*AQ49+AQ50*$D$56</f>
        <v>5.4985337243401766E-2</v>
      </c>
      <c r="AR61" s="45">
        <f>($D$53)*AR47+($D$54)*AR48+($D$55)*AR49+AR50*$D$56</f>
        <v>5.4985337243401766E-2</v>
      </c>
      <c r="AS61" s="168">
        <f>($D$53)*AS47+($D$54)*AS48+($D$55)*AS49+AS50*$D$56</f>
        <v>1.4132309815421767E-2</v>
      </c>
    </row>
    <row r="62" spans="3:52" x14ac:dyDescent="0.25">
      <c r="C62" s="138">
        <v>2</v>
      </c>
      <c r="D62" s="164">
        <f>($E$53)*D47+($E$54)*D48+($E$55)*D49+D50*$E$56</f>
        <v>7.3865599999999985</v>
      </c>
      <c r="E62" s="164">
        <f>($E$53)*E47+($E$54)*E48+($E$55)*E49+$E$56*E50</f>
        <v>17.13496</v>
      </c>
      <c r="F62" s="164">
        <f>($E$53)*F47+($E$54)*F48+($E$55)*F49+F50*$E$56</f>
        <v>15.80294</v>
      </c>
      <c r="G62" s="167">
        <f>($E$53)*G47+($E$54)*G48+($E$55)*G49+G50*$E$56</f>
        <v>1.2000000000000023E-3</v>
      </c>
      <c r="H62" s="45">
        <f>($E$53)*H47+($E$54)*H48+($E$55)*H49+$E$56*H50</f>
        <v>1.6000000000000029E-3</v>
      </c>
      <c r="I62" s="168">
        <f>($E$53)*I47+($E$54)*I48+($E$55)*I49+I50*$E$56</f>
        <v>2.0000000000000035E-3</v>
      </c>
      <c r="J62" s="164">
        <f>($E$53)*J47+($E$54)*J48+($E$55)*J49+J50*$E$56</f>
        <v>5.5333775359999997</v>
      </c>
      <c r="K62" s="164">
        <f>($E$53)*K47+($E$54)*K48+($E$55)*K49+$E$56*K50</f>
        <v>16.969777536000002</v>
      </c>
      <c r="L62" s="164">
        <f>($E$53)*L47+($E$54)*L48+($E$55)*L49+L50*$E$56</f>
        <v>12.620622463999997</v>
      </c>
      <c r="M62" s="167">
        <f>($E$53)*M47+($E$54)*M48+($E$55)*M49+M50*$E$56</f>
        <v>0.15353855999999999</v>
      </c>
      <c r="N62" s="45">
        <f>($E$53)*N47+($E$54)*N48+($E$55)*N49+$E$56*N50</f>
        <v>0.23193856000000002</v>
      </c>
      <c r="O62" s="168">
        <f>($E$53)*O47+($E$54)*O48+($E$55)*O49+O50*$E$56</f>
        <v>8.166144000000003E-2</v>
      </c>
      <c r="P62" s="164">
        <f>($E$53)*P47+($E$54)*P48+($E$55)*P49+P50*$E$56</f>
        <v>6.1040000000000001</v>
      </c>
      <c r="Q62" s="164">
        <f>($E$53)*Q47+($E$54)*Q48+($E$55)*Q49+$E$56*Q50</f>
        <v>14.774000000000001</v>
      </c>
      <c r="R62" s="164">
        <f>($E$53)*R47+($E$54)*R48+($E$55)*R49+R50*$E$56</f>
        <v>11.190999999999999</v>
      </c>
      <c r="S62" s="167">
        <f>($E$53)*S47+($E$54)*S48+($E$55)*S49+S50*$E$56</f>
        <v>2.0000000000000018E-2</v>
      </c>
      <c r="T62" s="45">
        <f>($E$53)*T47+($E$54)*T48+($E$55)*T49+$E$56*T50</f>
        <v>4.0000000000000036E-2</v>
      </c>
      <c r="U62" s="168">
        <f>($E$53)*U47+($E$54)*U48+($E$55)*U49+U50*$E$56</f>
        <v>2.0000000000000018E-2</v>
      </c>
      <c r="V62" s="164">
        <f>($E$53)*V47+($E$54)*V48+($E$55)*V49+V50*$E$56</f>
        <v>2.9929600000000001</v>
      </c>
      <c r="W62" s="164">
        <f>($E$53)*W47+($E$54)*W48+($E$55)*W49+$E$56*W50</f>
        <v>11.622959999999999</v>
      </c>
      <c r="X62" s="164">
        <f>($E$53)*X47+($E$54)*X48+($E$55)*X49+X50*$E$56</f>
        <v>6.717039999999999</v>
      </c>
      <c r="Y62" s="167">
        <f>($E$53)*Y47+($E$54)*Y48+($E$55)*Y49+Y50*$E$56</f>
        <v>0.2016</v>
      </c>
      <c r="Z62" s="45">
        <f>($E$53)*Z47+($E$54)*Z48+($E$55)*Z49+$E$56*Z50</f>
        <v>0.48160000000000003</v>
      </c>
      <c r="AA62" s="168">
        <f>($E$53)*AA47+($E$54)*AA48+($E$55)*AA49+AA50*$E$56</f>
        <v>7.8400000000000025E-2</v>
      </c>
      <c r="AB62" s="164">
        <f>($E$53)*AB47+($E$54)*AB48+($E$55)*AB49+AB50*$E$56</f>
        <v>0</v>
      </c>
      <c r="AC62" s="164">
        <f>($E$53)*AC47+($E$54)*AC48+($E$55)*AC49+$E$56*AC50</f>
        <v>14</v>
      </c>
      <c r="AD62" s="164">
        <f>($E$53)*AD47+($E$54)*AD48+($E$55)*AD49+AD50*$E$56</f>
        <v>0</v>
      </c>
      <c r="AE62" s="167">
        <f>($E$53)*AE47+($E$54)*AE48+($E$55)*AE49+AE50*$E$56</f>
        <v>9.2979127134724837E-2</v>
      </c>
      <c r="AF62" s="45">
        <f>($E$53)*AF47+($E$54)*AF48+($E$55)*AF49+$E$56*AF50</f>
        <v>0.13709677419354838</v>
      </c>
      <c r="AG62" s="168">
        <f>($E$53)*AG47+($E$54)*AG48+($E$55)*AG49+AG50*$E$56</f>
        <v>0.16463414634146339</v>
      </c>
      <c r="AH62" s="164">
        <f>($E$53+$E$56/3)*AH47+($E$54+$E$56/3)*AH48+($E$55+$E$56/3)*AH49</f>
        <v>0</v>
      </c>
      <c r="AI62" s="164">
        <f t="shared" ref="AI62:AM62" si="10">($E$53+$E$56/3)*AI47+($E$54+$E$56/3)*AI48+($E$55+$E$56/3)*AI49</f>
        <v>6.9999999999999991</v>
      </c>
      <c r="AJ62" s="164">
        <f t="shared" si="10"/>
        <v>0</v>
      </c>
      <c r="AK62" s="167">
        <f t="shared" si="10"/>
        <v>0</v>
      </c>
      <c r="AL62" s="45">
        <f t="shared" si="10"/>
        <v>0.33333333333333331</v>
      </c>
      <c r="AM62" s="168">
        <f t="shared" si="10"/>
        <v>0</v>
      </c>
      <c r="AN62" s="164">
        <f>($E$53)*AN47+($E$54)*AN48+($E$55)*AN49+AN50*$E$56</f>
        <v>4.55</v>
      </c>
      <c r="AO62" s="164">
        <f>($E$53)*AO47+($E$54)*AO48+($E$55)*AO49+$E$56*AO50</f>
        <v>7.05</v>
      </c>
      <c r="AP62" s="164">
        <f>($E$53)*AP47+($E$54)*AP48+($E$55)*AP49+AP50*$E$56</f>
        <v>14.7</v>
      </c>
      <c r="AQ62" s="167">
        <f>($E$53)*AQ47+($E$54)*AQ48+($E$55)*AQ49+AQ50*$E$56</f>
        <v>0.27492668621700878</v>
      </c>
      <c r="AR62" s="45">
        <f>($E$53)*AR47+($E$54)*AR48+($E$55)*AR49+$E$56*AR50</f>
        <v>0.27492668621700878</v>
      </c>
      <c r="AS62" s="168">
        <f>($E$53)*AS47+($E$54)*AS48+($E$55)*AS49+AS50*$E$56</f>
        <v>7.0661549077108837E-2</v>
      </c>
    </row>
    <row r="63" spans="3:52" ht="15.75" thickBot="1" x14ac:dyDescent="0.3">
      <c r="C63" s="139">
        <v>3</v>
      </c>
      <c r="D63" s="165">
        <f>($F$53)*D47+($F$54)*D48+($F$55)*D49+D50*$F$56</f>
        <v>8.3744959999999988</v>
      </c>
      <c r="E63" s="165">
        <f>($F$53)*E48+($F$54)*E47+($F$55)*E49+$F$56*E50</f>
        <v>17.272735999999998</v>
      </c>
      <c r="F63" s="165">
        <f>($F$53)*F47+($F$54)*F48+($F$55)*F49+F50*$F$56</f>
        <v>20.144463999999999</v>
      </c>
      <c r="G63" s="169">
        <f>($F$53)*G47+($F$54)*G48+($F$55)*G49+G50*$F$56</f>
        <v>1.2000000000000023E-3</v>
      </c>
      <c r="H63" s="170">
        <f>($F$53)*H48+($F$54)*H47+($F$55)*H49+$F$56*H50</f>
        <v>1.6000000000000029E-3</v>
      </c>
      <c r="I63" s="171">
        <f>($F$53)*I47+($F$54)*I48+($F$55)*I49+I50*$F$56</f>
        <v>2.0000000000000035E-3</v>
      </c>
      <c r="J63" s="165">
        <f>($F$53)*J47+($F$54)*J48+($F$55)*J49+J50*$F$56</f>
        <v>6.2323429376000004</v>
      </c>
      <c r="K63" s="165">
        <f>($F$53)*K48+($F$54)*K47+($F$55)*K49+$F$56*K50</f>
        <v>16.7873829376</v>
      </c>
      <c r="L63" s="165">
        <f>($F$53)*L47+($F$54)*L48+($F$55)*L49+L50*$F$56</f>
        <v>15.499817062399998</v>
      </c>
      <c r="M63" s="169">
        <f>($F$53)*M47+($F$54)*M48+($F$55)*M49+M50*$F$56</f>
        <v>0.15353855999999999</v>
      </c>
      <c r="N63" s="170">
        <f>($F$53)*N48+($F$54)*N47+($F$55)*N49+$F$56*N50</f>
        <v>0.23193856000000002</v>
      </c>
      <c r="O63" s="171">
        <f>($F$53)*O47+($F$54)*O48+($F$55)*O49+O50*$F$56</f>
        <v>8.166144000000003E-2</v>
      </c>
      <c r="P63" s="165">
        <f>($F$53)*P47+($F$54)*P48+($F$55)*P49+P50*$F$56</f>
        <v>7.0464000000000002</v>
      </c>
      <c r="Q63" s="165">
        <f>($F$53)*Q48+($F$54)*Q47+($F$55)*Q49+$F$56*Q50</f>
        <v>14.8584</v>
      </c>
      <c r="R63" s="165">
        <f>($F$53)*R47+($F$54)*R48+($F$55)*R49+R50*$F$56</f>
        <v>15.2616</v>
      </c>
      <c r="S63" s="169">
        <f>($F$53)*S47+($F$54)*S48+($F$55)*S49+S50*$F$56</f>
        <v>2.0000000000000018E-2</v>
      </c>
      <c r="T63" s="170">
        <f>($F$53)*T48+($F$54)*T47+($F$55)*T49+$F$56*T50</f>
        <v>4.0000000000000036E-2</v>
      </c>
      <c r="U63" s="171">
        <f>($F$53)*U47+($F$54)*U48+($F$55)*U49+U50*$F$56</f>
        <v>2.0000000000000018E-2</v>
      </c>
      <c r="V63" s="165">
        <f>($F$53)*V47+($F$54)*V48+($F$55)*V49+V50*$F$56</f>
        <v>3.4255360000000001</v>
      </c>
      <c r="W63" s="165">
        <f>($F$53)*W48+($F$54)*W47+($F$55)*W49+$F$56*W50</f>
        <v>11.093536</v>
      </c>
      <c r="X63" s="165">
        <f>($F$53)*X47+($F$54)*X48+($F$55)*X49+X50*$F$56</f>
        <v>8.5264639999999989</v>
      </c>
      <c r="Y63" s="169">
        <f>($F$53)*Y47+($F$54)*Y48+($F$55)*Y49+Y50*$F$56</f>
        <v>0.2016</v>
      </c>
      <c r="Z63" s="170">
        <f>($F$53)*Z48+($F$54)*Z47+($F$55)*Z49+$F$56*Z50</f>
        <v>0.48160000000000003</v>
      </c>
      <c r="AA63" s="171">
        <f>($F$53)*AA47+($F$54)*AA48+($F$55)*AA49+AA50*$F$56</f>
        <v>7.8400000000000025E-2</v>
      </c>
      <c r="AB63" s="165">
        <f>($F$53)*AB47+($F$54)*AB48+($F$55)*AB49+AB50*$F$56</f>
        <v>0</v>
      </c>
      <c r="AC63" s="165">
        <f>($F$53)*AC48+($F$54)*AC47+($F$55)*AC49+$F$56*AC50</f>
        <v>14</v>
      </c>
      <c r="AD63" s="165">
        <f>($F$53)*AD47+($F$54)*AD48+($F$55)*AD49+AD50*$F$56</f>
        <v>0</v>
      </c>
      <c r="AE63" s="169">
        <f>($F$53)*AE47+($F$54)*AE48+($F$55)*AE49+AE50*$F$56</f>
        <v>7.4383301707779875E-2</v>
      </c>
      <c r="AF63" s="170">
        <f>($F$53)*AF48+($F$54)*AF47+($F$55)*AF49+$F$56*AF50</f>
        <v>0.10967741935483871</v>
      </c>
      <c r="AG63" s="171">
        <f>($F$53)*AG47+($F$54)*AG48+($F$55)*AG49+AG50*$F$56</f>
        <v>0.29622344610542878</v>
      </c>
      <c r="AH63" s="165">
        <f>($F$53+$F$56/3)*AH47+($F$54+$F$56/3)*AH48+($F$55+$F$56/3)*AH49</f>
        <v>0</v>
      </c>
      <c r="AI63" s="165">
        <f t="shared" ref="AI63:AM63" si="11">($F$53+$F$56/3)*AI47+($F$54+$F$56/3)*AI48+($F$55+$F$56/3)*AI49</f>
        <v>7</v>
      </c>
      <c r="AJ63" s="165">
        <f t="shared" si="11"/>
        <v>0</v>
      </c>
      <c r="AK63" s="169">
        <f>($F$53+$F$56/3)*AK47+($F$54+$F$56/3)*AK48+($F$55+$F$56/3)*AK49</f>
        <v>0</v>
      </c>
      <c r="AL63" s="170">
        <f t="shared" si="11"/>
        <v>0.3666666666666667</v>
      </c>
      <c r="AM63" s="171">
        <f t="shared" si="11"/>
        <v>0</v>
      </c>
      <c r="AN63" s="165">
        <f>($F$53)*AN47+($F$54)*AN48+($F$55)*AN49+AN50*$F$56</f>
        <v>4.58</v>
      </c>
      <c r="AO63" s="165">
        <f>($F$53)*AO48+($F$54)*AO47+($F$55)*AO49+$F$56*AO50</f>
        <v>6.88</v>
      </c>
      <c r="AP63" s="165">
        <f>($F$53)*AP47+($F$54)*AP48+($F$55)*AP49+AP50*$F$56</f>
        <v>19.12</v>
      </c>
      <c r="AQ63" s="169">
        <f>($F$53)*AQ47+($F$54)*AQ48+($F$55)*AQ49+AQ50*$F$56</f>
        <v>0.35630498533724342</v>
      </c>
      <c r="AR63" s="170">
        <f>($F$53)*AR48+($F$54)*AR47+($F$55)*AR49+$F$56*AR50</f>
        <v>0.35630498533724342</v>
      </c>
      <c r="AS63" s="171">
        <f>($F$53)*AS47+($F$54)*AS48+($F$55)*AS49+AS50*$F$56</f>
        <v>7.0165602898050697E-2</v>
      </c>
    </row>
  </sheetData>
  <mergeCells count="62">
    <mergeCell ref="AQ45:AS45"/>
    <mergeCell ref="Y45:AA45"/>
    <mergeCell ref="AB45:AD45"/>
    <mergeCell ref="AE45:AG45"/>
    <mergeCell ref="AH45:AJ45"/>
    <mergeCell ref="AK45:AM45"/>
    <mergeCell ref="AN45:AP45"/>
    <mergeCell ref="J45:L45"/>
    <mergeCell ref="M45:O45"/>
    <mergeCell ref="P45:R45"/>
    <mergeCell ref="S45:U45"/>
    <mergeCell ref="V45:X45"/>
    <mergeCell ref="P44:U44"/>
    <mergeCell ref="V44:AA44"/>
    <mergeCell ref="AB44:AG44"/>
    <mergeCell ref="AH44:AM44"/>
    <mergeCell ref="AN44:AS44"/>
    <mergeCell ref="P32:U32"/>
    <mergeCell ref="V32:AA32"/>
    <mergeCell ref="D33:F33"/>
    <mergeCell ref="G33:I33"/>
    <mergeCell ref="J33:L33"/>
    <mergeCell ref="M33:O33"/>
    <mergeCell ref="P33:R33"/>
    <mergeCell ref="S33:U33"/>
    <mergeCell ref="V33:X33"/>
    <mergeCell ref="Y33:AA33"/>
    <mergeCell ref="D7:F7"/>
    <mergeCell ref="G7:I7"/>
    <mergeCell ref="J7:L7"/>
    <mergeCell ref="M7:O7"/>
    <mergeCell ref="D58:I58"/>
    <mergeCell ref="J58:O58"/>
    <mergeCell ref="D20:F20"/>
    <mergeCell ref="G20:I20"/>
    <mergeCell ref="J20:L20"/>
    <mergeCell ref="M20:O20"/>
    <mergeCell ref="D32:I32"/>
    <mergeCell ref="J32:O32"/>
    <mergeCell ref="D44:I44"/>
    <mergeCell ref="J44:O44"/>
    <mergeCell ref="D45:F45"/>
    <mergeCell ref="G45:I45"/>
    <mergeCell ref="P58:U58"/>
    <mergeCell ref="V58:AA58"/>
    <mergeCell ref="AB58:AG58"/>
    <mergeCell ref="AH58:AM58"/>
    <mergeCell ref="AN58:AS58"/>
    <mergeCell ref="D59:F59"/>
    <mergeCell ref="G59:I59"/>
    <mergeCell ref="J59:L59"/>
    <mergeCell ref="M59:O59"/>
    <mergeCell ref="P59:R59"/>
    <mergeCell ref="AH59:AJ59"/>
    <mergeCell ref="AK59:AM59"/>
    <mergeCell ref="AN59:AP59"/>
    <mergeCell ref="AQ59:AS59"/>
    <mergeCell ref="S59:U59"/>
    <mergeCell ref="V59:X59"/>
    <mergeCell ref="Y59:AA59"/>
    <mergeCell ref="AB59:AD59"/>
    <mergeCell ref="AE59:AG59"/>
  </mergeCells>
  <pageMargins left="0.7" right="0.7" top="0.75" bottom="0.75" header="0.3" footer="0.3"/>
  <pageSetup orientation="portrait" r:id="rId1"/>
  <ignoredErrors>
    <ignoredError sqref="AR62:AR63"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X15"/>
  <sheetViews>
    <sheetView showGridLines="0" zoomScale="70" zoomScaleNormal="70" workbookViewId="0"/>
  </sheetViews>
  <sheetFormatPr defaultRowHeight="15" x14ac:dyDescent="0.25"/>
  <cols>
    <col min="1" max="1" width="3.7109375" customWidth="1"/>
    <col min="2" max="2" width="6.7109375" customWidth="1"/>
    <col min="3" max="3" width="74.28515625" bestFit="1" customWidth="1"/>
    <col min="4" max="4" width="13.7109375" customWidth="1"/>
    <col min="5" max="5" width="14.28515625" customWidth="1"/>
    <col min="6" max="6" width="15.140625" customWidth="1"/>
    <col min="7" max="7" width="16.7109375" customWidth="1"/>
    <col min="8" max="8" width="16.42578125" customWidth="1"/>
    <col min="9" max="9" width="17.5703125" customWidth="1"/>
    <col min="10" max="10" width="15.85546875" customWidth="1"/>
    <col min="11" max="11" width="12.28515625" customWidth="1"/>
    <col min="12" max="12" width="13.7109375" customWidth="1"/>
    <col min="13" max="13" width="16.85546875" customWidth="1"/>
    <col min="14" max="14" width="14.28515625" customWidth="1"/>
    <col min="15" max="15" width="19.28515625" customWidth="1"/>
    <col min="16" max="16" width="12.5703125" customWidth="1"/>
    <col min="17" max="17" width="14.5703125" customWidth="1"/>
    <col min="18" max="18" width="14.85546875" customWidth="1"/>
    <col min="19" max="19" width="14.5703125" customWidth="1"/>
    <col min="20" max="20" width="20.5703125" customWidth="1"/>
    <col min="21" max="21" width="17.140625" customWidth="1"/>
    <col min="22" max="22" width="12.5703125" customWidth="1"/>
    <col min="23" max="23" width="16.42578125" customWidth="1"/>
    <col min="24" max="24" width="12.85546875" customWidth="1"/>
    <col min="25" max="25" width="12.140625" customWidth="1"/>
    <col min="26" max="26" width="21.28515625" customWidth="1"/>
    <col min="27" max="27" width="17.7109375" customWidth="1"/>
    <col min="29" max="29" width="13" customWidth="1"/>
    <col min="32" max="32" width="10.5703125" bestFit="1" customWidth="1"/>
    <col min="35" max="35" width="19.28515625" customWidth="1"/>
    <col min="38" max="38" width="12.85546875" customWidth="1"/>
    <col min="41" max="41" width="12.85546875" customWidth="1"/>
    <col min="44" max="44" width="13.42578125" customWidth="1"/>
  </cols>
  <sheetData>
    <row r="1" spans="2:24" s="1" customFormat="1" x14ac:dyDescent="0.25"/>
    <row r="2" spans="2:24" s="1" customFormat="1" ht="21" x14ac:dyDescent="0.35">
      <c r="B2" s="56" t="s">
        <v>83</v>
      </c>
    </row>
    <row r="3" spans="2:24" s="1" customFormat="1" x14ac:dyDescent="0.25"/>
    <row r="5" spans="2:24" s="76" customFormat="1" ht="15.75" thickBot="1" x14ac:dyDescent="0.3">
      <c r="C5" s="76" t="s">
        <v>80</v>
      </c>
    </row>
    <row r="6" spans="2:24" ht="15.75" thickBot="1" x14ac:dyDescent="0.3">
      <c r="C6" s="33" t="s">
        <v>61</v>
      </c>
      <c r="D6" s="257" t="str">
        <f>'Calculations 1'!D20:F20</f>
        <v>Immediate Treatment</v>
      </c>
      <c r="E6" s="258"/>
      <c r="F6" s="259"/>
      <c r="G6" s="257" t="str">
        <f>'Calculations 1'!G20:I20</f>
        <v>Treatment After Diagnosis</v>
      </c>
      <c r="H6" s="258"/>
      <c r="I6" s="259"/>
      <c r="J6" s="257" t="str">
        <f>'Calculations 1'!J20:L20</f>
        <v>Wrong Treatment</v>
      </c>
      <c r="K6" s="258"/>
      <c r="L6" s="259"/>
      <c r="M6" s="257" t="str">
        <f>'Calculations 1'!M20:O20</f>
        <v>No Treatment</v>
      </c>
      <c r="N6" s="258"/>
      <c r="O6" s="258"/>
      <c r="P6" s="277" t="s">
        <v>129</v>
      </c>
      <c r="Q6" s="278"/>
      <c r="R6" s="279"/>
      <c r="S6" s="277" t="s">
        <v>130</v>
      </c>
      <c r="T6" s="278"/>
      <c r="U6" s="279"/>
      <c r="V6" s="277" t="s">
        <v>131</v>
      </c>
      <c r="W6" s="278"/>
      <c r="X6" s="279"/>
    </row>
    <row r="7" spans="2:24" ht="15" customHeight="1" thickBot="1" x14ac:dyDescent="0.3">
      <c r="C7" s="34" t="s">
        <v>6</v>
      </c>
      <c r="D7" s="254" t="s">
        <v>81</v>
      </c>
      <c r="E7" s="255"/>
      <c r="F7" s="256"/>
      <c r="G7" s="254" t="s">
        <v>81</v>
      </c>
      <c r="H7" s="255"/>
      <c r="I7" s="256"/>
      <c r="J7" s="254" t="s">
        <v>81</v>
      </c>
      <c r="K7" s="255"/>
      <c r="L7" s="256"/>
      <c r="M7" s="254" t="s">
        <v>81</v>
      </c>
      <c r="N7" s="255"/>
      <c r="O7" s="255"/>
      <c r="P7" s="280" t="s">
        <v>81</v>
      </c>
      <c r="Q7" s="255"/>
      <c r="R7" s="281"/>
      <c r="S7" s="280" t="s">
        <v>81</v>
      </c>
      <c r="T7" s="255"/>
      <c r="U7" s="281"/>
      <c r="V7" s="280" t="s">
        <v>81</v>
      </c>
      <c r="W7" s="255"/>
      <c r="X7" s="281"/>
    </row>
    <row r="8" spans="2:24" ht="15.75" thickBot="1" x14ac:dyDescent="0.3">
      <c r="C8" s="34" t="s">
        <v>74</v>
      </c>
      <c r="D8" s="118" t="s">
        <v>71</v>
      </c>
      <c r="E8" s="119" t="s">
        <v>65</v>
      </c>
      <c r="F8" s="120" t="s">
        <v>73</v>
      </c>
      <c r="G8" s="118" t="s">
        <v>71</v>
      </c>
      <c r="H8" s="119" t="s">
        <v>65</v>
      </c>
      <c r="I8" s="120" t="s">
        <v>73</v>
      </c>
      <c r="J8" s="118" t="s">
        <v>71</v>
      </c>
      <c r="K8" s="119" t="s">
        <v>65</v>
      </c>
      <c r="L8" s="120" t="s">
        <v>73</v>
      </c>
      <c r="M8" s="118" t="s">
        <v>71</v>
      </c>
      <c r="N8" s="119" t="s">
        <v>65</v>
      </c>
      <c r="O8" s="148" t="s">
        <v>73</v>
      </c>
      <c r="P8" s="149" t="s">
        <v>71</v>
      </c>
      <c r="Q8" s="63" t="s">
        <v>65</v>
      </c>
      <c r="R8" s="150" t="s">
        <v>73</v>
      </c>
      <c r="S8" s="149" t="s">
        <v>71</v>
      </c>
      <c r="T8" s="63" t="s">
        <v>65</v>
      </c>
      <c r="U8" s="150" t="s">
        <v>73</v>
      </c>
      <c r="V8" s="199" t="s">
        <v>71</v>
      </c>
      <c r="W8" s="119" t="s">
        <v>65</v>
      </c>
      <c r="X8" s="155" t="s">
        <v>73</v>
      </c>
    </row>
    <row r="9" spans="2:24" x14ac:dyDescent="0.25">
      <c r="C9" s="31" t="s">
        <v>150</v>
      </c>
      <c r="D9" s="121">
        <f>'Calculations 1'!D22*'Inputs - Outbreak'!$C$9*'Inputs - Outbreak'!$C$10</f>
        <v>78.75</v>
      </c>
      <c r="E9" s="122">
        <f>'Calculations 1'!E22*'Inputs - Outbreak'!$C$9*'Inputs - Outbreak'!$C$10</f>
        <v>101.25</v>
      </c>
      <c r="F9" s="122">
        <f>'Calculations 1'!F22*'Inputs - Outbreak'!$C$9*'Inputs - Outbreak'!$C$10</f>
        <v>191.25</v>
      </c>
      <c r="G9" s="122">
        <f>'Calculations 1'!G22*'Inputs - Outbreak'!$C$9*'Inputs - Outbreak'!$C$10</f>
        <v>78.75</v>
      </c>
      <c r="H9" s="122">
        <f>'Calculations 1'!H22*'Inputs - Outbreak'!$C$9*'Inputs - Outbreak'!$C$10</f>
        <v>107.98919999999998</v>
      </c>
      <c r="I9" s="122">
        <f>'Calculations 1'!I22*'Inputs - Outbreak'!$C$9*'Inputs - Outbreak'!$C$10</f>
        <v>213.66899999999998</v>
      </c>
      <c r="J9" s="122">
        <f>'Calculations 1'!J22*'Inputs - Outbreak'!$C$9*'Inputs - Outbreak'!$C$10</f>
        <v>213.696</v>
      </c>
      <c r="K9" s="122">
        <f>'Calculations 1'!K22*'Inputs - Outbreak'!$C$9*'Inputs - Outbreak'!$C$10</f>
        <v>393.28199999999998</v>
      </c>
      <c r="L9" s="122">
        <f>'Calculations 1'!L22*'Inputs - Outbreak'!$C$9*'Inputs - Outbreak'!$C$10</f>
        <v>594.79199999999992</v>
      </c>
      <c r="M9" s="122">
        <f>'Calculations 1'!M22*'Inputs - Outbreak'!$C$9*'Inputs - Outbreak'!$C$10</f>
        <v>67.481999999999999</v>
      </c>
      <c r="N9" s="122">
        <f>'Calculations 1'!N22*'Inputs - Outbreak'!$C$9*'Inputs - Outbreak'!$C$10</f>
        <v>168.55199999999999</v>
      </c>
      <c r="O9" s="122">
        <f>'Calculations 1'!O22*'Inputs - Outbreak'!$C$9*'Inputs - Outbreak'!$C$10</f>
        <v>482.49449999999996</v>
      </c>
      <c r="P9" s="122">
        <f>'Inputs - Treatment'!$C$24*$D9+'Inputs - Treatment'!$C$25*$G9+'Inputs - Treatment'!$C$26*$J9+'Calculations 2'!M9*'Inputs - Treatment'!$C$27</f>
        <v>84.933899999999994</v>
      </c>
      <c r="Q9" s="122">
        <f>'Inputs - Treatment'!$C$24*$E9+'Inputs - Treatment'!$C$25*$H9+'Inputs - Treatment'!$C$26*$K9+'Calculations 2'!N9*'Inputs - Treatment'!$C$27</f>
        <v>121.91238</v>
      </c>
      <c r="R9" s="122">
        <f>'Inputs - Treatment'!$C$24*$F9+'Inputs - Treatment'!$C$25*$I9+'Inputs - Treatment'!$C$26*$L9+'Calculations 2'!O9*'Inputs - Treatment'!$C$27</f>
        <v>234.95692500000001</v>
      </c>
      <c r="S9" s="122">
        <f>'Inputs - Treatment'!$D$24*$D9+'Inputs - Treatment'!$D$25*$G9+'Inputs - Treatment'!$D$26*$J9+'Calculations 2'!$M9*'Inputs - Treatment'!$D$27</f>
        <v>109.6695</v>
      </c>
      <c r="T9" s="122">
        <f>'Inputs - Treatment'!$D$24*$E9+'Inputs - Treatment'!$D$25*$H9+'Inputs - Treatment'!$D$26*$K9+'Calculations 2'!$N9*'Inputs - Treatment'!$D$27</f>
        <v>192.76829999999998</v>
      </c>
      <c r="U9" s="122">
        <f>'Inputs - Treatment'!$D$24*$F9+'Inputs - Treatment'!$D$25*$I9+'Inputs - Treatment'!$D$26*$L9+'Calculations 2'!$O9*'Inputs - Treatment'!$D$27</f>
        <v>370.55137499999995</v>
      </c>
      <c r="V9" s="200">
        <f>'Inputs - Treatment'!$E$24*$D9+'Inputs - Treatment'!$E$25*$G9+'Inputs - Treatment'!$E$26*$J9+'Calculations 2'!$M9*'Inputs - Treatment'!$E$27</f>
        <v>100.10520000000001</v>
      </c>
      <c r="W9" s="201">
        <f>'Inputs - Treatment'!$E$24*$E9+'Inputs - Treatment'!$E$25*$H9+'Inputs - Treatment'!$E$26*$K9+'Calculations 2'!$N9*'Inputs - Treatment'!$E$27</f>
        <v>194.31828000000002</v>
      </c>
      <c r="X9" s="202">
        <f>'Inputs - Treatment'!$E$24*$F9+'Inputs - Treatment'!$E$25*$I9+'Inputs - Treatment'!$E$26*$L9+'Calculations 2'!$O9*'Inputs - Treatment'!$E$27</f>
        <v>420.94349999999997</v>
      </c>
    </row>
    <row r="10" spans="2:24" x14ac:dyDescent="0.25">
      <c r="C10" s="31" t="s">
        <v>151</v>
      </c>
      <c r="D10" s="123">
        <f>'Calculations 1'!D23*'Inputs - Outbreak'!$C$9*'Inputs - Outbreak'!$C$10</f>
        <v>101.25</v>
      </c>
      <c r="E10" s="35">
        <f>'Calculations 1'!E23*'Inputs - Outbreak'!$C$9*'Inputs - Outbreak'!$C$10</f>
        <v>123.75</v>
      </c>
      <c r="F10" s="35">
        <f>'Calculations 1'!F23*'Inputs - Outbreak'!$C$9*'Inputs - Outbreak'!$C$10</f>
        <v>213.75</v>
      </c>
      <c r="G10" s="35">
        <f>'Calculations 1'!G23*'Inputs - Outbreak'!$C$9*'Inputs - Outbreak'!$C$10</f>
        <v>101.25</v>
      </c>
      <c r="H10" s="35">
        <f>'Calculations 1'!H23*'Inputs - Outbreak'!$C$9*'Inputs - Outbreak'!$C$10</f>
        <v>128.93441471999998</v>
      </c>
      <c r="I10" s="35">
        <f>'Calculations 1'!I23*'Inputs - Outbreak'!$C$9*'Inputs - Outbreak'!$C$10</f>
        <v>229.19399999999999</v>
      </c>
      <c r="J10" s="35">
        <f>'Calculations 1'!J23*'Inputs - Outbreak'!$C$9*'Inputs - Outbreak'!$C$10</f>
        <v>225.666</v>
      </c>
      <c r="K10" s="35">
        <f>'Calculations 1'!K23*'Inputs - Outbreak'!$C$9*'Inputs - Outbreak'!$C$10</f>
        <v>348.40797120000002</v>
      </c>
      <c r="L10" s="35">
        <f>'Calculations 1'!L23*'Inputs - Outbreak'!$C$9*'Inputs - Outbreak'!$C$10</f>
        <v>491.7419999999999</v>
      </c>
      <c r="M10" s="35">
        <f>'Calculations 1'!M23*'Inputs - Outbreak'!$C$9*'Inputs - Outbreak'!$C$10</f>
        <v>86.471999999999994</v>
      </c>
      <c r="N10" s="35">
        <f>'Calculations 1'!N23*'Inputs - Outbreak'!$C$9*'Inputs - Outbreak'!$C$10</f>
        <v>162.5476032</v>
      </c>
      <c r="O10" s="35">
        <f>'Calculations 1'!O23*'Inputs - Outbreak'!$C$9*'Inputs - Outbreak'!$C$10</f>
        <v>396.88199999999995</v>
      </c>
      <c r="P10" s="35">
        <f>'Inputs - Treatment'!$C$24*$D10+'Inputs - Treatment'!$C$25*$G10+'Inputs - Treatment'!$C$26*$J10+'Calculations 2'!M10*'Inputs - Treatment'!$C$27</f>
        <v>106.7319</v>
      </c>
      <c r="Q10" s="35">
        <f>'Inputs - Treatment'!$C$24*$E10+'Inputs - Treatment'!$C$25*$H10+'Inputs - Treatment'!$C$26*$K10+'Calculations 2'!N10*'Inputs - Treatment'!$C$27</f>
        <v>138.99654460799999</v>
      </c>
      <c r="R10" s="35">
        <f>'Inputs - Treatment'!$C$24*$F10+'Inputs - Treatment'!$C$25*$I10+'Inputs - Treatment'!$C$26*$L10+'Calculations 2'!O10*'Inputs - Treatment'!$C$27</f>
        <v>242.98379999999997</v>
      </c>
      <c r="S10" s="35">
        <f>'Inputs - Treatment'!$D$24*$D10+'Inputs - Treatment'!$D$25*$G10+'Inputs - Treatment'!$D$26*$J10+'Calculations 2'!$M10*'Inputs - Treatment'!$D$27</f>
        <v>128.65950000000001</v>
      </c>
      <c r="T10" s="35">
        <f>'Inputs - Treatment'!$D$24*$E10+'Inputs - Treatment'!$D$25*$H10+'Inputs - Treatment'!$D$26*$K10+'Calculations 2'!$N10*'Inputs - Treatment'!$D$27</f>
        <v>190.90999728</v>
      </c>
      <c r="U10" s="35">
        <f>'Inputs - Treatment'!$D$24*$F10+'Inputs - Treatment'!$D$25*$I10+'Inputs - Treatment'!$D$26*$L10+'Calculations 2'!$O10*'Inputs - Treatment'!$D$27</f>
        <v>332.89199999999994</v>
      </c>
      <c r="V10" s="203">
        <f>'Inputs - Treatment'!$E$24*$D10+'Inputs - Treatment'!$E$25*$G10+'Inputs - Treatment'!$E$26*$J10+'Calculations 2'!$M10*'Inputs - Treatment'!$E$27</f>
        <v>118.74420000000001</v>
      </c>
      <c r="W10" s="35">
        <f>'Inputs - Treatment'!$E$24*$E10+'Inputs - Treatment'!$E$25*$H10+'Inputs - Treatment'!$E$26*$K10+'Calculations 2'!$N10*'Inputs - Treatment'!$E$27</f>
        <v>188.858058048</v>
      </c>
      <c r="X10" s="204">
        <f>'Inputs - Treatment'!$E$24*$F10+'Inputs - Treatment'!$E$25*$I10+'Inputs - Treatment'!$E$26*$L10+'Calculations 2'!$O10*'Inputs - Treatment'!$E$27</f>
        <v>363.23099999999994</v>
      </c>
    </row>
    <row r="11" spans="2:24" x14ac:dyDescent="0.25">
      <c r="C11" s="31" t="s">
        <v>147</v>
      </c>
      <c r="D11" s="123">
        <f>'Calculations 1'!D24*'Inputs - Outbreak'!$C$9*'Inputs - Outbreak'!$C$10</f>
        <v>67.5</v>
      </c>
      <c r="E11" s="35">
        <f>'Calculations 1'!E24*'Inputs - Outbreak'!$C$9*'Inputs - Outbreak'!$C$10</f>
        <v>78.75</v>
      </c>
      <c r="F11" s="35">
        <f>'Calculations 1'!F24*'Inputs - Outbreak'!$C$9*'Inputs - Outbreak'!$C$10</f>
        <v>123.75</v>
      </c>
      <c r="G11" s="35">
        <f>'Calculations 1'!G24*'Inputs - Outbreak'!$C$9*'Inputs - Outbreak'!$C$10</f>
        <v>67.5</v>
      </c>
      <c r="H11" s="35">
        <f>'Calculations 1'!H24*'Inputs - Outbreak'!$C$9*'Inputs - Outbreak'!$C$10</f>
        <v>85.22999999999999</v>
      </c>
      <c r="I11" s="35">
        <f>'Calculations 1'!I24*'Inputs - Outbreak'!$C$9*'Inputs - Outbreak'!$C$10</f>
        <v>144.89999999999998</v>
      </c>
      <c r="J11" s="35">
        <f>'Calculations 1'!J24*'Inputs - Outbreak'!$C$9*'Inputs - Outbreak'!$C$10</f>
        <v>199.8</v>
      </c>
      <c r="K11" s="35">
        <f>'Calculations 1'!K24*'Inputs - Outbreak'!$C$9*'Inputs - Outbreak'!$C$10</f>
        <v>359.55</v>
      </c>
      <c r="L11" s="35">
        <f>'Calculations 1'!L24*'Inputs - Outbreak'!$C$9*'Inputs - Outbreak'!$C$10</f>
        <v>504.45000000000005</v>
      </c>
      <c r="M11" s="35">
        <f>'Calculations 1'!M24*'Inputs - Outbreak'!$C$9*'Inputs - Outbreak'!$C$10</f>
        <v>55.35</v>
      </c>
      <c r="N11" s="35">
        <f>'Calculations 1'!N24*'Inputs - Outbreak'!$C$9*'Inputs - Outbreak'!$C$10</f>
        <v>141.30000000000001</v>
      </c>
      <c r="O11" s="35">
        <f>'Calculations 1'!O24*'Inputs - Outbreak'!$C$9*'Inputs - Outbreak'!$C$10</f>
        <v>395.32499999999999</v>
      </c>
      <c r="P11" s="35">
        <f>'Inputs - Treatment'!$C$24*$D11+'Inputs - Treatment'!$C$25*$G11+'Inputs - Treatment'!$C$26*$J11+'Calculations 2'!M11*'Inputs - Treatment'!$C$27</f>
        <v>73.507500000000007</v>
      </c>
      <c r="Q11" s="35">
        <f>'Inputs - Treatment'!$C$24*$E11+'Inputs - Treatment'!$C$25*$H11+'Inputs - Treatment'!$C$26*$K11+'Calculations 2'!N11*'Inputs - Treatment'!$C$27</f>
        <v>98.509500000000003</v>
      </c>
      <c r="R11" s="35">
        <f>'Inputs - Treatment'!$C$24*$F11+'Inputs - Treatment'!$C$25*$I11+'Inputs - Treatment'!$C$26*$L11+'Calculations 2'!O11*'Inputs - Treatment'!$C$27</f>
        <v>164.82375000000002</v>
      </c>
      <c r="S11" s="35">
        <f>'Inputs - Treatment'!$D$24*$D11+'Inputs - Treatment'!$D$25*$G11+'Inputs - Treatment'!$D$26*$J11+'Calculations 2'!$M11*'Inputs - Treatment'!$D$27</f>
        <v>97.537500000000009</v>
      </c>
      <c r="T11" s="35">
        <f>'Inputs - Treatment'!$D$24*$E11+'Inputs - Treatment'!$D$25*$H11+'Inputs - Treatment'!$D$26*$K11+'Calculations 2'!$N11*'Inputs - Treatment'!$D$27</f>
        <v>166.20749999999998</v>
      </c>
      <c r="U11" s="35">
        <f>'Inputs - Treatment'!$D$24*$F11+'Inputs - Treatment'!$D$25*$I11+'Inputs - Treatment'!$D$26*$L11+'Calculations 2'!$O11*'Inputs - Treatment'!$D$27</f>
        <v>292.10624999999999</v>
      </c>
      <c r="V11" s="203">
        <f>'Inputs - Treatment'!$E$24*$D11+'Inputs - Treatment'!$E$25*$G11+'Inputs - Treatment'!$E$26*$J11+'Calculations 2'!$M11*'Inputs - Treatment'!$E$27</f>
        <v>87.885000000000005</v>
      </c>
      <c r="W11" s="35">
        <f>'Inputs - Treatment'!$E$24*$E11+'Inputs - Treatment'!$E$25*$H11+'Inputs - Treatment'!$E$26*$K11+'Calculations 2'!$N11*'Inputs - Treatment'!$E$27</f>
        <v>167.15700000000001</v>
      </c>
      <c r="X11" s="204">
        <f>'Inputs - Treatment'!$E$24*$F11+'Inputs - Treatment'!$E$25*$I11+'Inputs - Treatment'!$E$26*$L11+'Calculations 2'!$O11*'Inputs - Treatment'!$E$27</f>
        <v>338.85</v>
      </c>
    </row>
    <row r="12" spans="2:24" x14ac:dyDescent="0.25">
      <c r="C12" s="31" t="s">
        <v>148</v>
      </c>
      <c r="D12" s="123">
        <f>'Calculations 1'!D25*'Inputs - Outbreak'!$C$9*'Inputs - Outbreak'!$C$10</f>
        <v>78.75</v>
      </c>
      <c r="E12" s="35">
        <f>'Calculations 1'!E25*'Inputs - Outbreak'!$C$9*'Inputs - Outbreak'!$C$10</f>
        <v>90</v>
      </c>
      <c r="F12" s="35">
        <f>'Calculations 1'!F25*'Inputs - Outbreak'!$C$9*'Inputs - Outbreak'!$C$10</f>
        <v>135</v>
      </c>
      <c r="G12" s="35">
        <f>'Calculations 1'!G25*'Inputs - Outbreak'!$C$9*'Inputs - Outbreak'!$C$10</f>
        <v>78.75</v>
      </c>
      <c r="H12" s="35">
        <f>'Calculations 1'!H25*'Inputs - Outbreak'!$C$9*'Inputs - Outbreak'!$C$10</f>
        <v>93.499200000000002</v>
      </c>
      <c r="I12" s="35">
        <f>'Calculations 1'!I25*'Inputs - Outbreak'!$C$9*'Inputs - Outbreak'!$C$10</f>
        <v>144.89999999999998</v>
      </c>
      <c r="J12" s="35">
        <f>'Calculations 1'!J25*'Inputs - Outbreak'!$C$9*'Inputs - Outbreak'!$C$10</f>
        <v>175.95000000000002</v>
      </c>
      <c r="K12" s="35">
        <f>'Calculations 1'!K25*'Inputs - Outbreak'!$C$9*'Inputs - Outbreak'!$C$10</f>
        <v>241.63200000000001</v>
      </c>
      <c r="L12" s="35">
        <f>'Calculations 1'!L25*'Inputs - Outbreak'!$C$9*'Inputs - Outbreak'!$C$10</f>
        <v>313.19999999999993</v>
      </c>
      <c r="M12" s="35">
        <f>'Calculations 1'!M25*'Inputs - Outbreak'!$C$9*'Inputs - Outbreak'!$C$10</f>
        <v>54.900000000000006</v>
      </c>
      <c r="N12" s="35">
        <f>'Calculations 1'!N25*'Inputs - Outbreak'!$C$9*'Inputs - Outbreak'!$C$10</f>
        <v>97.902000000000015</v>
      </c>
      <c r="O12" s="35">
        <f>'Calculations 1'!O25*'Inputs - Outbreak'!$C$9*'Inputs - Outbreak'!$C$10</f>
        <v>232.20000000000002</v>
      </c>
      <c r="P12" s="35">
        <f>'Inputs - Treatment'!$C$24*$D12+'Inputs - Treatment'!$C$25*$G12+'Inputs - Treatment'!$C$26*$J12+'Calculations 2'!M12*'Inputs - Treatment'!$C$27</f>
        <v>82.417500000000004</v>
      </c>
      <c r="Q12" s="35">
        <f>'Inputs - Treatment'!$C$24*$E12+'Inputs - Treatment'!$C$25*$H12+'Inputs - Treatment'!$C$26*$K12+'Calculations 2'!N12*'Inputs - Treatment'!$C$27</f>
        <v>99.376379999999997</v>
      </c>
      <c r="R12" s="35">
        <f>'Inputs - Treatment'!$C$24*$F12+'Inputs - Treatment'!$C$25*$I12+'Inputs - Treatment'!$C$26*$L12+'Calculations 2'!O12*'Inputs - Treatment'!$C$27</f>
        <v>152.73000000000002</v>
      </c>
      <c r="S12" s="35">
        <f>'Inputs - Treatment'!$D$24*$D12+'Inputs - Treatment'!$D$25*$G12+'Inputs - Treatment'!$D$26*$J12+'Calculations 2'!$M12*'Inputs - Treatment'!$D$27</f>
        <v>97.087500000000006</v>
      </c>
      <c r="T12" s="35">
        <f>'Inputs - Treatment'!$D$24*$E12+'Inputs - Treatment'!$D$25*$H12+'Inputs - Treatment'!$D$26*$K12+'Calculations 2'!$N12*'Inputs - Treatment'!$D$27</f>
        <v>130.75830000000002</v>
      </c>
      <c r="U12" s="35">
        <f>'Inputs - Treatment'!$D$24*$F12+'Inputs - Treatment'!$D$25*$I12+'Inputs - Treatment'!$D$26*$L12+'Calculations 2'!$O12*'Inputs - Treatment'!$D$27</f>
        <v>206.32499999999999</v>
      </c>
      <c r="V12" s="203">
        <f>'Inputs - Treatment'!$E$24*$D12+'Inputs - Treatment'!$E$25*$G12+'Inputs - Treatment'!$E$26*$J12+'Calculations 2'!$M12*'Inputs - Treatment'!$E$27</f>
        <v>86.265000000000015</v>
      </c>
      <c r="W12" s="35">
        <f>'Inputs - Treatment'!$E$24*$E12+'Inputs - Treatment'!$E$25*$H12+'Inputs - Treatment'!$E$26*$K12+'Calculations 2'!$N12*'Inputs - Treatment'!$E$27</f>
        <v>124.80228000000001</v>
      </c>
      <c r="X12" s="204">
        <f>'Inputs - Treatment'!$E$24*$F12+'Inputs - Treatment'!$E$25*$I12+'Inputs - Treatment'!$E$26*$L12+'Calculations 2'!$O12*'Inputs - Treatment'!$E$27</f>
        <v>220.72499999999999</v>
      </c>
    </row>
    <row r="13" spans="2:24" x14ac:dyDescent="0.25">
      <c r="C13" s="31" t="s">
        <v>142</v>
      </c>
      <c r="D13" s="123">
        <f>'Calculations 1'!D26*'Inputs - Outbreak'!$C$9*'Inputs - Outbreak'!$C$10</f>
        <v>157.5</v>
      </c>
      <c r="E13" s="35">
        <f>'Calculations 1'!E26*'Inputs - Outbreak'!$C$9*'Inputs - Outbreak'!$C$10</f>
        <v>157.5</v>
      </c>
      <c r="F13" s="35">
        <f>'Calculations 1'!F26*'Inputs - Outbreak'!$C$9*'Inputs - Outbreak'!$C$10</f>
        <v>157.5</v>
      </c>
      <c r="G13" s="35">
        <f>'Calculations 1'!G26*'Inputs - Outbreak'!$C$9*'Inputs - Outbreak'!$C$10</f>
        <v>157.5</v>
      </c>
      <c r="H13" s="35">
        <f>'Calculations 1'!H26*'Inputs - Outbreak'!$C$9*'Inputs - Outbreak'!$C$10</f>
        <v>157.5</v>
      </c>
      <c r="I13" s="35">
        <f>'Calculations 1'!I26*'Inputs - Outbreak'!$C$9*'Inputs - Outbreak'!$C$10</f>
        <v>157.5</v>
      </c>
      <c r="J13" s="35">
        <f>'Calculations 1'!J26*'Inputs - Outbreak'!$C$9*'Inputs - Outbreak'!$C$10</f>
        <v>157.5</v>
      </c>
      <c r="K13" s="35">
        <f>'Calculations 1'!K26*'Inputs - Outbreak'!$C$9*'Inputs - Outbreak'!$C$10</f>
        <v>157.5</v>
      </c>
      <c r="L13" s="35">
        <f>'Calculations 1'!L26*'Inputs - Outbreak'!$C$9*'Inputs - Outbreak'!$C$10</f>
        <v>157.5</v>
      </c>
      <c r="M13" s="35">
        <f>'Calculations 1'!M26*'Inputs - Outbreak'!$C$9*'Inputs - Outbreak'!$C$10</f>
        <v>157.5</v>
      </c>
      <c r="N13" s="35">
        <f>'Calculations 1'!N26*'Inputs - Outbreak'!$C$9*'Inputs - Outbreak'!$C$10</f>
        <v>157.5</v>
      </c>
      <c r="O13" s="35">
        <f>'Calculations 1'!O26*'Inputs - Outbreak'!$C$9*'Inputs - Outbreak'!$C$10</f>
        <v>157.5</v>
      </c>
      <c r="P13" s="35">
        <f>'Inputs - Treatment'!$C$24*$D13+'Inputs - Treatment'!$C$25*$G13+'Inputs - Treatment'!$C$26*$J13+'Calculations 2'!M13*'Inputs - Treatment'!$C$27</f>
        <v>157.5</v>
      </c>
      <c r="Q13" s="35">
        <f>'Inputs - Treatment'!$C$24*$E13+'Inputs - Treatment'!$C$25*$H13+'Inputs - Treatment'!$C$26*$K13+'Calculations 2'!N13*'Inputs - Treatment'!$C$27</f>
        <v>157.5</v>
      </c>
      <c r="R13" s="35">
        <f>'Inputs - Treatment'!$C$24*$F13+'Inputs - Treatment'!$C$25*$I13+'Inputs - Treatment'!$C$26*$L13+'Calculations 2'!O13*'Inputs - Treatment'!$C$27</f>
        <v>157.5</v>
      </c>
      <c r="S13" s="35">
        <f>'Inputs - Treatment'!$D$24*$D13+'Inputs - Treatment'!$D$25*$G13+'Inputs - Treatment'!$D$26*$J13+'Calculations 2'!$M13*'Inputs - Treatment'!$D$27</f>
        <v>157.5</v>
      </c>
      <c r="T13" s="35">
        <f>'Inputs - Treatment'!$D$24*$E13+'Inputs - Treatment'!$D$25*$H13+'Inputs - Treatment'!$D$26*$K13+'Calculations 2'!$N13*'Inputs - Treatment'!$D$27</f>
        <v>157.5</v>
      </c>
      <c r="U13" s="35">
        <f>'Inputs - Treatment'!$D$24*$F13+'Inputs - Treatment'!$D$25*$I13+'Inputs - Treatment'!$D$26*$L13+'Calculations 2'!$O13*'Inputs - Treatment'!$D$27</f>
        <v>157.5</v>
      </c>
      <c r="V13" s="203">
        <f>'Inputs - Treatment'!$E$24*$D13+'Inputs - Treatment'!$E$25*$G13+'Inputs - Treatment'!$E$26*$J13+'Calculations 2'!$M13*'Inputs - Treatment'!$E$27</f>
        <v>157.5</v>
      </c>
      <c r="W13" s="35">
        <f>'Inputs - Treatment'!$E$24*$E13+'Inputs - Treatment'!$E$25*$H13+'Inputs - Treatment'!$E$26*$K13+'Calculations 2'!$N13*'Inputs - Treatment'!$E$27</f>
        <v>157.5</v>
      </c>
      <c r="X13" s="204">
        <f>'Inputs - Treatment'!$E$24*$F13+'Inputs - Treatment'!$E$25*$I13+'Inputs - Treatment'!$E$26*$L13+'Calculations 2'!$O13*'Inputs - Treatment'!$E$27</f>
        <v>157.5</v>
      </c>
    </row>
    <row r="14" spans="2:24" x14ac:dyDescent="0.25">
      <c r="C14" s="41" t="s">
        <v>149</v>
      </c>
      <c r="D14" s="123">
        <f>'Calculations 1'!D27*'Inputs - Outbreak'!$C$9*'Inputs - Outbreak'!$C$10</f>
        <v>78.75</v>
      </c>
      <c r="E14" s="35">
        <f>'Calculations 1'!E27*'Inputs - Outbreak'!$C$9*'Inputs - Outbreak'!$C$10</f>
        <v>78.75</v>
      </c>
      <c r="F14" s="35">
        <f>'Calculations 1'!F27*'Inputs - Outbreak'!$C$9*'Inputs - Outbreak'!$C$10</f>
        <v>78.75</v>
      </c>
      <c r="G14" s="35">
        <f>'Calculations 1'!G27*'Inputs - Outbreak'!$C$9*'Inputs - Outbreak'!$C$10</f>
        <v>78.75</v>
      </c>
      <c r="H14" s="35">
        <f>'Calculations 1'!H27*'Inputs - Outbreak'!$C$9*'Inputs - Outbreak'!$C$10</f>
        <v>78.75</v>
      </c>
      <c r="I14" s="35">
        <f>'Calculations 1'!I27*'Inputs - Outbreak'!$C$9*'Inputs - Outbreak'!$C$10</f>
        <v>78.75</v>
      </c>
      <c r="J14" s="35">
        <f>'Calculations 1'!J27*'Inputs - Outbreak'!$C$9*'Inputs - Outbreak'!$C$10</f>
        <v>78.75</v>
      </c>
      <c r="K14" s="35">
        <f>'Calculations 1'!K27*'Inputs - Outbreak'!$C$9*'Inputs - Outbreak'!$C$10</f>
        <v>78.75</v>
      </c>
      <c r="L14" s="35">
        <f>'Calculations 1'!L27*'Inputs - Outbreak'!$C$9*'Inputs - Outbreak'!$C$10</f>
        <v>78.75</v>
      </c>
      <c r="M14" s="35" t="s">
        <v>75</v>
      </c>
      <c r="N14" s="35" t="s">
        <v>75</v>
      </c>
      <c r="O14" s="35" t="s">
        <v>75</v>
      </c>
      <c r="P14" s="35">
        <f>('Inputs - Treatment'!$C$24+1/3*'Inputs - Treatment'!$C$27)*D14+('Inputs - Treatment'!$C$25+1/3*'Inputs - Treatment'!$C$27)*G14+('Inputs - Treatment'!$C$26+1/3*'Inputs - Treatment'!$C$27)*J14</f>
        <v>78.75</v>
      </c>
      <c r="Q14" s="35">
        <f>('Inputs - Treatment'!$C$24+1/3*'Inputs - Treatment'!$C$27)*E14+('Inputs - Treatment'!$C$25+1/3*'Inputs - Treatment'!$C$27)*H14+('Inputs - Treatment'!$C$26+1/3*'Inputs - Treatment'!$C$27)*K14</f>
        <v>78.75</v>
      </c>
      <c r="R14" s="35">
        <f>('Inputs - Treatment'!$C$24+1/3*'Inputs - Treatment'!$C$27)*F14+('Inputs - Treatment'!$C$25+1/3*'Inputs - Treatment'!$C$27)*I14+('Inputs - Treatment'!$C$26+1/3*'Inputs - Treatment'!$C$27)*L14</f>
        <v>78.75</v>
      </c>
      <c r="S14" s="35">
        <f>('Inputs - Treatment'!$D$24+1/3*'Inputs - Treatment'!$D$27)*D14+('Inputs - Treatment'!$D$25+1/3*'Inputs - Treatment'!$D$27)*G14+('Inputs - Treatment'!$D$26+1/3*'Inputs - Treatment'!$D$27)*J14</f>
        <v>78.75</v>
      </c>
      <c r="T14" s="35">
        <f>('Inputs - Treatment'!$D$24+1/3*'Inputs - Treatment'!$D$27)*E14+('Inputs - Treatment'!$D$25+1/3*'Inputs - Treatment'!$D$27)*H14+('Inputs - Treatment'!$D$26+1/3*'Inputs - Treatment'!$D$27)*K14</f>
        <v>78.75</v>
      </c>
      <c r="U14" s="35">
        <f>('Inputs - Treatment'!$D$24+1/3*'Inputs - Treatment'!$D$27)*F14+('Inputs - Treatment'!$D$25+1/3*'Inputs - Treatment'!$D$27)*I14+('Inputs - Treatment'!$D$26+1/3*'Inputs - Treatment'!$D$27)*L14</f>
        <v>78.75</v>
      </c>
      <c r="V14" s="203">
        <f>('Inputs - Treatment'!$E$24+1/3*'Inputs - Treatment'!$E$27)*D14+('Inputs - Treatment'!$E$25+1/3*'Inputs - Treatment'!$E$27)*G14+('Inputs - Treatment'!$E$26+1/3*'Inputs - Treatment'!$E$27)*J14</f>
        <v>78.75</v>
      </c>
      <c r="W14" s="35">
        <f>('Inputs - Treatment'!$E$24+1/3*'Inputs - Treatment'!$E$27)*E14+('Inputs - Treatment'!$E$25+1/3*'Inputs - Treatment'!$E$27)*H14+('Inputs - Treatment'!$E$26+1/3*'Inputs - Treatment'!$E$27)*K14</f>
        <v>78.75</v>
      </c>
      <c r="X14" s="204">
        <f>('Inputs - Treatment'!$E$24+1/3*'Inputs - Treatment'!$E$27)*F14+('Inputs - Treatment'!$E$25+1/3*'Inputs - Treatment'!$E$27)*I14+('Inputs - Treatment'!$E$26+1/3*'Inputs - Treatment'!$E$27)*L14</f>
        <v>78.75</v>
      </c>
    </row>
    <row r="15" spans="2:24" ht="15.75" thickBot="1" x14ac:dyDescent="0.3">
      <c r="C15" s="32" t="s">
        <v>143</v>
      </c>
      <c r="D15" s="124">
        <f>'Calculations 1'!D28*'Inputs - Outbreak'!$C$9*'Inputs - Outbreak'!$C$10</f>
        <v>22.5</v>
      </c>
      <c r="E15" s="125">
        <f>'Calculations 1'!E28*'Inputs - Outbreak'!$C$9*'Inputs - Outbreak'!$C$10</f>
        <v>51.749999999999993</v>
      </c>
      <c r="F15" s="125">
        <f>'Calculations 1'!F28*'Inputs - Outbreak'!$C$9*'Inputs - Outbreak'!$C$10</f>
        <v>67.5</v>
      </c>
      <c r="G15" s="125">
        <f>'Calculations 1'!G28*'Inputs - Outbreak'!$C$9*'Inputs - Outbreak'!$C$10</f>
        <v>45</v>
      </c>
      <c r="H15" s="125">
        <f>'Calculations 1'!H28*'Inputs - Outbreak'!$C$9*'Inputs - Outbreak'!$C$10</f>
        <v>74.25</v>
      </c>
      <c r="I15" s="125">
        <f>'Calculations 1'!I28*'Inputs - Outbreak'!$C$9*'Inputs - Outbreak'!$C$10</f>
        <v>90</v>
      </c>
      <c r="J15" s="125">
        <f>'Calculations 1'!J28*'Inputs - Outbreak'!$C$9*'Inputs - Outbreak'!$C$10</f>
        <v>22.5</v>
      </c>
      <c r="K15" s="125">
        <f>'Calculations 1'!K28*'Inputs - Outbreak'!$C$9*'Inputs - Outbreak'!$C$10</f>
        <v>123.75</v>
      </c>
      <c r="L15" s="125">
        <f>'Calculations 1'!L28*'Inputs - Outbreak'!$C$9*'Inputs - Outbreak'!$C$10</f>
        <v>472.5</v>
      </c>
      <c r="M15" s="125">
        <f>'Calculations 1'!M28*'Inputs - Outbreak'!$C$9*'Inputs - Outbreak'!$C$10</f>
        <v>22.5</v>
      </c>
      <c r="N15" s="125">
        <f>'Calculations 1'!N28*'Inputs - Outbreak'!$C$9*'Inputs - Outbreak'!$C$10</f>
        <v>67.5</v>
      </c>
      <c r="O15" s="125">
        <f>'Calculations 1'!O28*'Inputs - Outbreak'!$C$9*'Inputs - Outbreak'!$C$10</f>
        <v>348.75</v>
      </c>
      <c r="P15" s="125">
        <f>'Inputs - Treatment'!$C$24*$D15+'Inputs - Treatment'!$C$25*$G15+'Inputs - Treatment'!$C$26*$J15+'Calculations 2'!M15*'Inputs - Treatment'!$C$27</f>
        <v>31.5</v>
      </c>
      <c r="Q15" s="125">
        <f>'Inputs - Treatment'!$C$24*$E15+'Inputs - Treatment'!$C$25*$H15+'Inputs - Treatment'!$C$26*$K15+'Calculations 2'!N15*'Inputs - Treatment'!$C$27</f>
        <v>65.137500000000003</v>
      </c>
      <c r="R15" s="125">
        <f>'Inputs - Treatment'!$C$24*$F15+'Inputs - Treatment'!$C$25*$I15+'Inputs - Treatment'!$C$26*$L15+'Calculations 2'!O15*'Inputs - Treatment'!$C$27</f>
        <v>110.8125</v>
      </c>
      <c r="S15" s="125">
        <f>'Inputs - Treatment'!$D$24*$D15+'Inputs - Treatment'!$D$25*$G15+'Inputs - Treatment'!$D$26*$J15+'Calculations 2'!$M15*'Inputs - Treatment'!$D$27</f>
        <v>28.125</v>
      </c>
      <c r="T15" s="125">
        <f>'Inputs - Treatment'!$D$24*$E15+'Inputs - Treatment'!$D$25*$H15+'Inputs - Treatment'!$D$26*$K15+'Calculations 2'!$N15*'Inputs - Treatment'!$D$27</f>
        <v>79.3125</v>
      </c>
      <c r="U15" s="125">
        <f>'Inputs - Treatment'!$D$24*$F15+'Inputs - Treatment'!$D$25*$I15+'Inputs - Treatment'!$D$26*$L15+'Calculations 2'!$O15*'Inputs - Treatment'!$D$27</f>
        <v>244.6875</v>
      </c>
      <c r="V15" s="205">
        <f>'Inputs - Treatment'!$E$24*$D15+'Inputs - Treatment'!$E$25*$G15+'Inputs - Treatment'!$E$26*$J15+'Calculations 2'!$M15*'Inputs - Treatment'!$E$27</f>
        <v>25.875</v>
      </c>
      <c r="W15" s="206">
        <f>'Inputs - Treatment'!$E$24*$E15+'Inputs - Treatment'!$E$25*$H15+'Inputs - Treatment'!$E$26*$K15+'Calculations 2'!$N15*'Inputs - Treatment'!$E$27</f>
        <v>77.400000000000006</v>
      </c>
      <c r="X15" s="207">
        <f>'Inputs - Treatment'!$E$24*$F15+'Inputs - Treatment'!$E$25*$I15+'Inputs - Treatment'!$E$26*$L15+'Calculations 2'!$O15*'Inputs - Treatment'!$E$27</f>
        <v>292.5</v>
      </c>
    </row>
  </sheetData>
  <mergeCells count="14">
    <mergeCell ref="D6:F6"/>
    <mergeCell ref="G6:I6"/>
    <mergeCell ref="J6:L6"/>
    <mergeCell ref="M6:O6"/>
    <mergeCell ref="D7:F7"/>
    <mergeCell ref="G7:I7"/>
    <mergeCell ref="J7:L7"/>
    <mergeCell ref="M7:O7"/>
    <mergeCell ref="S6:U6"/>
    <mergeCell ref="S7:U7"/>
    <mergeCell ref="V6:X6"/>
    <mergeCell ref="V7:X7"/>
    <mergeCell ref="P6:R6"/>
    <mergeCell ref="P7:R7"/>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G44"/>
  <sheetViews>
    <sheetView showGridLines="0" zoomScaleNormal="100" workbookViewId="0">
      <selection activeCell="C13" sqref="C13"/>
    </sheetView>
  </sheetViews>
  <sheetFormatPr defaultRowHeight="15" x14ac:dyDescent="0.25"/>
  <cols>
    <col min="1" max="1" width="18.5703125" customWidth="1"/>
    <col min="2" max="2" width="28.7109375" customWidth="1"/>
    <col min="3" max="3" width="52.28515625" bestFit="1" customWidth="1"/>
    <col min="4" max="4" width="23.7109375" bestFit="1" customWidth="1"/>
  </cols>
  <sheetData>
    <row r="1" spans="1:7" s="14" customFormat="1" x14ac:dyDescent="0.25">
      <c r="A1" s="13"/>
      <c r="E1" s="15"/>
      <c r="F1" s="16"/>
      <c r="G1" s="16"/>
    </row>
    <row r="2" spans="1:7" s="14" customFormat="1" ht="21" x14ac:dyDescent="0.35">
      <c r="A2" s="13"/>
      <c r="B2" s="52" t="s">
        <v>64</v>
      </c>
      <c r="E2" s="15"/>
      <c r="F2" s="16"/>
      <c r="G2" s="16"/>
    </row>
    <row r="3" spans="1:7" s="14" customFormat="1" x14ac:dyDescent="0.25">
      <c r="A3" s="13"/>
      <c r="E3" s="15"/>
      <c r="F3" s="16"/>
      <c r="G3" s="16"/>
    </row>
    <row r="7" spans="1:7" s="19" customFormat="1" x14ac:dyDescent="0.25">
      <c r="A7" s="20" t="s">
        <v>22</v>
      </c>
    </row>
    <row r="8" spans="1:7" x14ac:dyDescent="0.25">
      <c r="A8" s="282" t="s">
        <v>11</v>
      </c>
      <c r="B8" s="282"/>
      <c r="C8" s="18" t="s">
        <v>12</v>
      </c>
      <c r="D8" s="18" t="s">
        <v>13</v>
      </c>
    </row>
    <row r="9" spans="1:7" ht="45" x14ac:dyDescent="0.25">
      <c r="A9" s="26" t="s">
        <v>41</v>
      </c>
      <c r="B9" s="17" t="s">
        <v>14</v>
      </c>
      <c r="C9" s="18">
        <v>3</v>
      </c>
      <c r="D9" s="18">
        <v>3</v>
      </c>
    </row>
    <row r="10" spans="1:7" ht="75" x14ac:dyDescent="0.25">
      <c r="A10" s="26" t="s">
        <v>42</v>
      </c>
      <c r="B10" s="17" t="s">
        <v>15</v>
      </c>
      <c r="C10" s="18">
        <v>5</v>
      </c>
      <c r="D10" s="18">
        <v>5</v>
      </c>
    </row>
    <row r="11" spans="1:7" ht="45" x14ac:dyDescent="0.25">
      <c r="A11" s="26" t="s">
        <v>43</v>
      </c>
      <c r="B11" s="17" t="s">
        <v>16</v>
      </c>
      <c r="C11" s="18" t="s">
        <v>17</v>
      </c>
      <c r="D11" s="18" t="s">
        <v>18</v>
      </c>
    </row>
    <row r="12" spans="1:7" x14ac:dyDescent="0.25">
      <c r="A12" s="26" t="s">
        <v>44</v>
      </c>
      <c r="B12" s="17" t="s">
        <v>19</v>
      </c>
      <c r="C12" s="18" t="s">
        <v>20</v>
      </c>
      <c r="D12" s="18" t="s">
        <v>21</v>
      </c>
    </row>
    <row r="17" spans="1:4" s="19" customFormat="1" x14ac:dyDescent="0.25">
      <c r="A17" s="20" t="s">
        <v>22</v>
      </c>
    </row>
    <row r="18" spans="1:4" ht="16.5" thickBot="1" x14ac:dyDescent="0.3">
      <c r="A18" s="21" t="s">
        <v>7</v>
      </c>
      <c r="B18" s="22" t="s">
        <v>8</v>
      </c>
      <c r="C18" s="22" t="s">
        <v>9</v>
      </c>
      <c r="D18" s="22" t="s">
        <v>10</v>
      </c>
    </row>
    <row r="19" spans="1:4" ht="15.75" thickTop="1" x14ac:dyDescent="0.25">
      <c r="A19" s="23" t="s">
        <v>23</v>
      </c>
      <c r="B19" s="23"/>
      <c r="C19" s="23"/>
      <c r="D19" s="23"/>
    </row>
    <row r="20" spans="1:4" x14ac:dyDescent="0.25">
      <c r="B20" t="s">
        <v>24</v>
      </c>
      <c r="C20" t="s">
        <v>25</v>
      </c>
    </row>
    <row r="21" spans="1:4" x14ac:dyDescent="0.25">
      <c r="B21" t="s">
        <v>26</v>
      </c>
      <c r="C21" t="s">
        <v>27</v>
      </c>
    </row>
    <row r="22" spans="1:4" x14ac:dyDescent="0.25">
      <c r="B22" t="s">
        <v>28</v>
      </c>
      <c r="C22" t="s">
        <v>29</v>
      </c>
    </row>
    <row r="23" spans="1:4" x14ac:dyDescent="0.25">
      <c r="A23" s="23" t="s">
        <v>30</v>
      </c>
      <c r="B23" s="23"/>
      <c r="C23" s="23"/>
      <c r="D23" s="23"/>
    </row>
    <row r="24" spans="1:4" x14ac:dyDescent="0.25">
      <c r="A24" s="24"/>
      <c r="B24" s="24" t="s">
        <v>31</v>
      </c>
      <c r="C24" s="24" t="s">
        <v>32</v>
      </c>
      <c r="D24" s="24"/>
    </row>
    <row r="25" spans="1:4" x14ac:dyDescent="0.25">
      <c r="B25" t="s">
        <v>33</v>
      </c>
      <c r="C25" t="s">
        <v>34</v>
      </c>
    </row>
    <row r="26" spans="1:4" x14ac:dyDescent="0.25">
      <c r="A26" s="23" t="s">
        <v>35</v>
      </c>
      <c r="B26" s="23"/>
      <c r="C26" s="23"/>
      <c r="D26" s="23"/>
    </row>
    <row r="27" spans="1:4" x14ac:dyDescent="0.25">
      <c r="B27" t="s">
        <v>36</v>
      </c>
    </row>
    <row r="31" spans="1:4" x14ac:dyDescent="0.25">
      <c r="A31" s="23" t="s">
        <v>37</v>
      </c>
      <c r="B31" s="23"/>
      <c r="C31" s="23"/>
      <c r="D31" s="23"/>
    </row>
    <row r="32" spans="1:4" ht="135" x14ac:dyDescent="0.25">
      <c r="B32" s="25" t="s">
        <v>38</v>
      </c>
      <c r="C32" s="25" t="s">
        <v>39</v>
      </c>
    </row>
    <row r="33" spans="1:3" ht="90" x14ac:dyDescent="0.25">
      <c r="B33" s="25" t="s">
        <v>40</v>
      </c>
      <c r="C33" t="s">
        <v>27</v>
      </c>
    </row>
    <row r="37" spans="1:3" s="19" customFormat="1" x14ac:dyDescent="0.25">
      <c r="A37" s="20" t="s">
        <v>57</v>
      </c>
    </row>
    <row r="40" spans="1:3" x14ac:dyDescent="0.25">
      <c r="A40" s="283" t="s">
        <v>55</v>
      </c>
      <c r="B40" s="283"/>
      <c r="C40" s="283"/>
    </row>
    <row r="41" spans="1:3" ht="79.5" customHeight="1" x14ac:dyDescent="0.25">
      <c r="A41" s="283"/>
      <c r="B41" s="283"/>
      <c r="C41" s="283"/>
    </row>
    <row r="42" spans="1:3" ht="17.25" customHeight="1" x14ac:dyDescent="0.25">
      <c r="A42" s="283" t="s">
        <v>56</v>
      </c>
      <c r="B42" s="283"/>
      <c r="C42" s="283"/>
    </row>
    <row r="43" spans="1:3" x14ac:dyDescent="0.25">
      <c r="A43" s="283"/>
      <c r="B43" s="283"/>
      <c r="C43" s="283"/>
    </row>
    <row r="44" spans="1:3" x14ac:dyDescent="0.25">
      <c r="A44" s="283"/>
      <c r="B44" s="283"/>
      <c r="C44" s="283"/>
    </row>
  </sheetData>
  <mergeCells count="3">
    <mergeCell ref="A8:B8"/>
    <mergeCell ref="A40:C41"/>
    <mergeCell ref="A42:C4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D35"/>
  <sheetViews>
    <sheetView showGridLines="0" zoomScale="79" zoomScaleNormal="79" workbookViewId="0"/>
  </sheetViews>
  <sheetFormatPr defaultRowHeight="15" x14ac:dyDescent="0.25"/>
  <cols>
    <col min="1" max="1" width="9.140625" style="212"/>
    <col min="2" max="2" width="110.7109375" style="212" bestFit="1" customWidth="1"/>
    <col min="3" max="16384" width="9.140625" style="212"/>
  </cols>
  <sheetData>
    <row r="1" spans="1:4" s="211" customFormat="1" x14ac:dyDescent="0.25"/>
    <row r="2" spans="1:4" s="211" customFormat="1" ht="26.25" x14ac:dyDescent="0.4">
      <c r="B2" s="208" t="s">
        <v>103</v>
      </c>
    </row>
    <row r="3" spans="1:4" s="211" customFormat="1" x14ac:dyDescent="0.25">
      <c r="B3" s="78"/>
    </row>
    <row r="4" spans="1:4" x14ac:dyDescent="0.25">
      <c r="B4" s="80"/>
    </row>
    <row r="5" spans="1:4" s="211" customFormat="1" ht="21" x14ac:dyDescent="0.35">
      <c r="A5" s="212"/>
      <c r="B5" s="209" t="s">
        <v>124</v>
      </c>
    </row>
    <row r="6" spans="1:4" s="144" customFormat="1" ht="53.25" customHeight="1" x14ac:dyDescent="0.25">
      <c r="B6" s="220" t="s">
        <v>175</v>
      </c>
    </row>
    <row r="7" spans="1:4" s="144" customFormat="1" x14ac:dyDescent="0.25"/>
    <row r="8" spans="1:4" s="144" customFormat="1" x14ac:dyDescent="0.25">
      <c r="B8" s="144" t="s">
        <v>125</v>
      </c>
    </row>
    <row r="9" spans="1:4" s="144" customFormat="1" x14ac:dyDescent="0.25">
      <c r="B9" s="145" t="s">
        <v>92</v>
      </c>
      <c r="C9" s="214" t="s">
        <v>90</v>
      </c>
      <c r="D9" s="212"/>
    </row>
    <row r="10" spans="1:4" s="144" customFormat="1" x14ac:dyDescent="0.25">
      <c r="B10" s="145" t="s">
        <v>93</v>
      </c>
      <c r="C10" s="214" t="s">
        <v>91</v>
      </c>
      <c r="D10" s="212"/>
    </row>
    <row r="11" spans="1:4" s="144" customFormat="1" x14ac:dyDescent="0.25">
      <c r="B11" s="145" t="s">
        <v>179</v>
      </c>
      <c r="C11" s="214" t="s">
        <v>157</v>
      </c>
      <c r="D11" s="212"/>
    </row>
    <row r="12" spans="1:4" s="144" customFormat="1" x14ac:dyDescent="0.25">
      <c r="B12" s="145" t="s">
        <v>178</v>
      </c>
      <c r="C12" s="214" t="s">
        <v>145</v>
      </c>
      <c r="D12" s="212"/>
    </row>
    <row r="13" spans="1:4" s="144" customFormat="1" x14ac:dyDescent="0.25">
      <c r="B13" s="145" t="s">
        <v>94</v>
      </c>
      <c r="C13" s="214" t="s">
        <v>89</v>
      </c>
      <c r="D13" s="212"/>
    </row>
    <row r="14" spans="1:4" s="146" customFormat="1" x14ac:dyDescent="0.25">
      <c r="B14" s="147"/>
      <c r="C14" s="215"/>
      <c r="D14" s="213"/>
    </row>
    <row r="15" spans="1:4" s="144" customFormat="1" x14ac:dyDescent="0.25">
      <c r="B15" s="144" t="s">
        <v>126</v>
      </c>
    </row>
    <row r="16" spans="1:4" s="144" customFormat="1" x14ac:dyDescent="0.25">
      <c r="B16" s="145" t="s">
        <v>102</v>
      </c>
      <c r="C16" s="214" t="s">
        <v>107</v>
      </c>
    </row>
    <row r="17" spans="1:3" s="144" customFormat="1" x14ac:dyDescent="0.25">
      <c r="B17" s="145" t="s">
        <v>104</v>
      </c>
      <c r="C17" s="214" t="s">
        <v>108</v>
      </c>
    </row>
    <row r="18" spans="1:3" s="144" customFormat="1" x14ac:dyDescent="0.25">
      <c r="B18" s="145" t="s">
        <v>105</v>
      </c>
      <c r="C18" s="214" t="s">
        <v>16</v>
      </c>
    </row>
    <row r="19" spans="1:3" s="144" customFormat="1" x14ac:dyDescent="0.25">
      <c r="B19" s="145" t="s">
        <v>106</v>
      </c>
      <c r="C19" s="214" t="s">
        <v>19</v>
      </c>
    </row>
    <row r="20" spans="1:3" s="144" customFormat="1" x14ac:dyDescent="0.25"/>
    <row r="21" spans="1:3" s="144" customFormat="1" x14ac:dyDescent="0.25">
      <c r="B21" s="144" t="s">
        <v>127</v>
      </c>
    </row>
    <row r="22" spans="1:3" s="144" customFormat="1" x14ac:dyDescent="0.25"/>
    <row r="24" spans="1:3" s="211" customFormat="1" ht="21" x14ac:dyDescent="0.35">
      <c r="A24" s="212"/>
      <c r="B24" s="209" t="s">
        <v>161</v>
      </c>
    </row>
    <row r="25" spans="1:3" x14ac:dyDescent="0.25">
      <c r="B25" s="212" t="s">
        <v>162</v>
      </c>
    </row>
    <row r="27" spans="1:3" s="210" customFormat="1" x14ac:dyDescent="0.25"/>
    <row r="28" spans="1:3" s="211" customFormat="1" ht="21" x14ac:dyDescent="0.35">
      <c r="A28" s="212"/>
      <c r="B28" s="209" t="s">
        <v>163</v>
      </c>
    </row>
    <row r="29" spans="1:3" x14ac:dyDescent="0.25">
      <c r="B29" s="212" t="s">
        <v>164</v>
      </c>
    </row>
    <row r="30" spans="1:3" x14ac:dyDescent="0.25">
      <c r="B30" s="212" t="s">
        <v>167</v>
      </c>
    </row>
    <row r="31" spans="1:3" x14ac:dyDescent="0.25">
      <c r="B31" s="212" t="s">
        <v>168</v>
      </c>
    </row>
    <row r="33" spans="2:2" x14ac:dyDescent="0.25">
      <c r="B33" s="213" t="s">
        <v>165</v>
      </c>
    </row>
    <row r="34" spans="2:2" x14ac:dyDescent="0.25">
      <c r="B34" s="212" t="s">
        <v>169</v>
      </c>
    </row>
    <row r="35" spans="2:2" x14ac:dyDescent="0.25">
      <c r="B35" s="212" t="s">
        <v>170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K19"/>
  <sheetViews>
    <sheetView showGridLines="0" zoomScale="70" zoomScaleNormal="70" workbookViewId="0"/>
  </sheetViews>
  <sheetFormatPr defaultRowHeight="15" x14ac:dyDescent="0.25"/>
  <cols>
    <col min="2" max="2" width="25.85546875" customWidth="1"/>
  </cols>
  <sheetData>
    <row r="1" spans="1:11" s="77" customFormat="1" x14ac:dyDescent="0.25"/>
    <row r="2" spans="1:11" s="77" customFormat="1" ht="26.25" x14ac:dyDescent="0.4">
      <c r="B2" s="208" t="s">
        <v>166</v>
      </c>
    </row>
    <row r="3" spans="1:11" s="77" customFormat="1" x14ac:dyDescent="0.25">
      <c r="B3" s="78"/>
    </row>
    <row r="4" spans="1:11" s="144" customFormat="1" x14ac:dyDescent="0.25"/>
    <row r="5" spans="1:11" s="144" customFormat="1" x14ac:dyDescent="0.25">
      <c r="B5" s="144" t="s">
        <v>127</v>
      </c>
    </row>
    <row r="6" spans="1:11" s="144" customFormat="1" x14ac:dyDescent="0.25"/>
    <row r="7" spans="1:11" s="77" customFormat="1" x14ac:dyDescent="0.25">
      <c r="A7"/>
      <c r="B7" s="81" t="s">
        <v>119</v>
      </c>
    </row>
    <row r="8" spans="1:11" x14ac:dyDescent="0.25">
      <c r="B8" s="50"/>
      <c r="C8" s="50"/>
      <c r="D8" s="50"/>
      <c r="E8" s="50"/>
      <c r="F8" s="50"/>
      <c r="G8" s="50"/>
      <c r="H8" s="50"/>
      <c r="I8" s="50"/>
      <c r="J8" s="50"/>
      <c r="K8" s="50"/>
    </row>
    <row r="9" spans="1:11" x14ac:dyDescent="0.25">
      <c r="A9" s="50"/>
      <c r="B9" s="216" t="s">
        <v>120</v>
      </c>
      <c r="C9" s="224" t="s">
        <v>123</v>
      </c>
      <c r="D9" s="225"/>
      <c r="E9" s="225"/>
      <c r="F9" s="225"/>
      <c r="G9" s="225"/>
      <c r="H9" s="225"/>
      <c r="I9" s="225"/>
      <c r="J9" s="225"/>
      <c r="K9" s="226"/>
    </row>
    <row r="10" spans="1:11" x14ac:dyDescent="0.25">
      <c r="A10" s="50"/>
      <c r="B10" s="143" t="s">
        <v>121</v>
      </c>
      <c r="C10" s="227"/>
      <c r="D10" s="228"/>
      <c r="E10" s="228"/>
      <c r="F10" s="228"/>
      <c r="G10" s="228"/>
      <c r="H10" s="228"/>
      <c r="I10" s="228"/>
      <c r="J10" s="228"/>
      <c r="K10" s="229"/>
    </row>
    <row r="11" spans="1:11" x14ac:dyDescent="0.25">
      <c r="A11" s="50"/>
      <c r="B11" s="217" t="s">
        <v>122</v>
      </c>
      <c r="C11" s="230"/>
      <c r="D11" s="231"/>
      <c r="E11" s="231"/>
      <c r="F11" s="231"/>
      <c r="G11" s="231"/>
      <c r="H11" s="231"/>
      <c r="I11" s="231"/>
      <c r="J11" s="231"/>
      <c r="K11" s="232"/>
    </row>
    <row r="12" spans="1:11" ht="20.25" customHeight="1" x14ac:dyDescent="0.25">
      <c r="A12" s="50"/>
      <c r="B12" s="140" t="s">
        <v>85</v>
      </c>
      <c r="C12" s="224" t="s">
        <v>188</v>
      </c>
      <c r="D12" s="225"/>
      <c r="E12" s="225"/>
      <c r="F12" s="225"/>
      <c r="G12" s="225"/>
      <c r="H12" s="225"/>
      <c r="I12" s="225"/>
      <c r="J12" s="225"/>
      <c r="K12" s="226"/>
    </row>
    <row r="13" spans="1:11" ht="20.25" customHeight="1" x14ac:dyDescent="0.25">
      <c r="A13" s="50"/>
      <c r="B13" s="142" t="s">
        <v>86</v>
      </c>
      <c r="C13" s="227"/>
      <c r="D13" s="228"/>
      <c r="E13" s="228"/>
      <c r="F13" s="228"/>
      <c r="G13" s="228"/>
      <c r="H13" s="228"/>
      <c r="I13" s="228"/>
      <c r="J13" s="228"/>
      <c r="K13" s="229"/>
    </row>
    <row r="14" spans="1:11" ht="21" customHeight="1" x14ac:dyDescent="0.25">
      <c r="A14" s="50"/>
      <c r="B14" s="141" t="s">
        <v>158</v>
      </c>
      <c r="C14" s="230"/>
      <c r="D14" s="231"/>
      <c r="E14" s="231"/>
      <c r="F14" s="231"/>
      <c r="G14" s="231"/>
      <c r="H14" s="231"/>
      <c r="I14" s="231"/>
      <c r="J14" s="231"/>
      <c r="K14" s="232"/>
    </row>
    <row r="15" spans="1:11" x14ac:dyDescent="0.25">
      <c r="A15" s="50"/>
      <c r="B15" s="216" t="s">
        <v>98</v>
      </c>
      <c r="C15" s="233" t="s">
        <v>100</v>
      </c>
      <c r="D15" s="234"/>
      <c r="E15" s="234"/>
      <c r="F15" s="234"/>
      <c r="G15" s="234"/>
      <c r="H15" s="234"/>
      <c r="I15" s="234"/>
      <c r="J15" s="234"/>
      <c r="K15" s="235"/>
    </row>
    <row r="16" spans="1:11" x14ac:dyDescent="0.25">
      <c r="A16" s="50"/>
      <c r="B16" s="143" t="s">
        <v>99</v>
      </c>
      <c r="C16" s="236"/>
      <c r="D16" s="237"/>
      <c r="E16" s="237"/>
      <c r="F16" s="237"/>
      <c r="G16" s="237"/>
      <c r="H16" s="237"/>
      <c r="I16" s="237"/>
      <c r="J16" s="237"/>
      <c r="K16" s="238"/>
    </row>
    <row r="17" spans="1:11" x14ac:dyDescent="0.25">
      <c r="A17" s="50"/>
      <c r="B17" s="217"/>
      <c r="C17" s="239"/>
      <c r="D17" s="240"/>
      <c r="E17" s="240"/>
      <c r="F17" s="240"/>
      <c r="G17" s="240"/>
      <c r="H17" s="240"/>
      <c r="I17" s="240"/>
      <c r="J17" s="240"/>
      <c r="K17" s="241"/>
    </row>
    <row r="18" spans="1:11" x14ac:dyDescent="0.25">
      <c r="B18" s="212" t="s">
        <v>186</v>
      </c>
    </row>
    <row r="19" spans="1:11" x14ac:dyDescent="0.25">
      <c r="B19" s="212" t="s">
        <v>187</v>
      </c>
    </row>
  </sheetData>
  <mergeCells count="3">
    <mergeCell ref="C9:K11"/>
    <mergeCell ref="C12:K14"/>
    <mergeCell ref="C15:K1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B1:E25"/>
  <sheetViews>
    <sheetView showGridLines="0" zoomScale="85" zoomScaleNormal="85" workbookViewId="0"/>
  </sheetViews>
  <sheetFormatPr defaultRowHeight="15" x14ac:dyDescent="0.25"/>
  <cols>
    <col min="2" max="2" width="42.7109375" customWidth="1"/>
    <col min="3" max="3" width="10.85546875" customWidth="1"/>
    <col min="4" max="4" width="9" bestFit="1" customWidth="1"/>
    <col min="5" max="5" width="12.42578125" bestFit="1" customWidth="1"/>
  </cols>
  <sheetData>
    <row r="1" spans="2:5" s="1" customFormat="1" x14ac:dyDescent="0.25"/>
    <row r="2" spans="2:5" s="1" customFormat="1" ht="26.25" x14ac:dyDescent="0.4">
      <c r="B2" s="56" t="s">
        <v>2</v>
      </c>
      <c r="C2" s="51"/>
    </row>
    <row r="3" spans="2:5" s="1" customFormat="1" x14ac:dyDescent="0.25"/>
    <row r="5" spans="2:5" ht="25.5" x14ac:dyDescent="0.65">
      <c r="B5" s="53" t="s">
        <v>88</v>
      </c>
      <c r="C5" s="91" t="s">
        <v>96</v>
      </c>
    </row>
    <row r="6" spans="2:5" ht="21" x14ac:dyDescent="0.25">
      <c r="B6" s="84" t="s">
        <v>92</v>
      </c>
      <c r="C6" s="86" t="s">
        <v>90</v>
      </c>
    </row>
    <row r="7" spans="2:5" ht="21" x14ac:dyDescent="0.25">
      <c r="B7" s="84" t="s">
        <v>93</v>
      </c>
      <c r="C7" s="86" t="s">
        <v>91</v>
      </c>
    </row>
    <row r="8" spans="2:5" ht="21" x14ac:dyDescent="0.25">
      <c r="B8" s="84" t="s">
        <v>179</v>
      </c>
      <c r="C8" s="86" t="s">
        <v>157</v>
      </c>
    </row>
    <row r="9" spans="2:5" ht="21" x14ac:dyDescent="0.25">
      <c r="B9" s="84" t="s">
        <v>178</v>
      </c>
      <c r="C9" s="86" t="s">
        <v>145</v>
      </c>
    </row>
    <row r="10" spans="2:5" ht="21" x14ac:dyDescent="0.25">
      <c r="B10" s="84" t="s">
        <v>94</v>
      </c>
      <c r="C10" s="86" t="s">
        <v>89</v>
      </c>
    </row>
    <row r="12" spans="2:5" ht="21" x14ac:dyDescent="0.35">
      <c r="B12" s="53" t="s">
        <v>95</v>
      </c>
    </row>
    <row r="13" spans="2:5" x14ac:dyDescent="0.25">
      <c r="B13" s="88"/>
      <c r="C13" s="89" t="s">
        <v>66</v>
      </c>
      <c r="D13" s="89" t="s">
        <v>65</v>
      </c>
      <c r="E13" s="89" t="s">
        <v>67</v>
      </c>
    </row>
    <row r="14" spans="2:5" x14ac:dyDescent="0.25">
      <c r="B14" s="90" t="s">
        <v>45</v>
      </c>
      <c r="C14" s="82">
        <v>0.94</v>
      </c>
      <c r="D14" s="82">
        <v>0.96</v>
      </c>
      <c r="E14" s="82">
        <v>0.98</v>
      </c>
    </row>
    <row r="15" spans="2:5" x14ac:dyDescent="0.25">
      <c r="B15" s="90" t="s">
        <v>87</v>
      </c>
      <c r="C15" s="83">
        <v>0.44</v>
      </c>
      <c r="D15" s="83">
        <f>0.54*D14</f>
        <v>0.51839999999999997</v>
      </c>
      <c r="E15" s="83">
        <v>0.72</v>
      </c>
    </row>
    <row r="16" spans="2:5" ht="14.25" customHeight="1" x14ac:dyDescent="0.25">
      <c r="B16" s="90" t="s">
        <v>156</v>
      </c>
      <c r="C16" s="82">
        <v>0.9</v>
      </c>
      <c r="D16" s="82">
        <v>0.95</v>
      </c>
      <c r="E16" s="82">
        <v>0.99</v>
      </c>
    </row>
    <row r="17" spans="2:3" x14ac:dyDescent="0.25">
      <c r="B17" s="54" t="s">
        <v>62</v>
      </c>
    </row>
    <row r="18" spans="2:3" x14ac:dyDescent="0.25">
      <c r="B18" s="55" t="s">
        <v>63</v>
      </c>
    </row>
    <row r="22" spans="2:3" x14ac:dyDescent="0.25">
      <c r="B22" s="26"/>
      <c r="C22" s="17"/>
    </row>
    <row r="23" spans="2:3" x14ac:dyDescent="0.25">
      <c r="B23" s="26"/>
      <c r="C23" s="17"/>
    </row>
    <row r="24" spans="2:3" x14ac:dyDescent="0.25">
      <c r="B24" s="26"/>
      <c r="C24" s="17"/>
    </row>
    <row r="25" spans="2:3" x14ac:dyDescent="0.25">
      <c r="B25" s="26"/>
      <c r="C25" s="17"/>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B1:R30"/>
  <sheetViews>
    <sheetView showGridLines="0" topLeftCell="A4" zoomScale="85" zoomScaleNormal="85" workbookViewId="0">
      <selection activeCell="K14" sqref="K14"/>
    </sheetView>
  </sheetViews>
  <sheetFormatPr defaultRowHeight="15" x14ac:dyDescent="0.25"/>
  <cols>
    <col min="2" max="2" width="42.42578125" customWidth="1"/>
    <col min="3" max="3" width="16.7109375" customWidth="1"/>
    <col min="4" max="4" width="14.7109375" customWidth="1"/>
    <col min="5" max="5" width="16.42578125" customWidth="1"/>
    <col min="6" max="6" width="23.7109375" customWidth="1"/>
    <col min="7" max="8" width="12" bestFit="1" customWidth="1"/>
    <col min="9" max="9" width="12.42578125" bestFit="1" customWidth="1"/>
    <col min="13" max="13" width="8" customWidth="1"/>
    <col min="14" max="14" width="9" bestFit="1" customWidth="1"/>
  </cols>
  <sheetData>
    <row r="1" spans="2:18" s="1" customFormat="1" x14ac:dyDescent="0.25"/>
    <row r="2" spans="2:18" s="1" customFormat="1" ht="26.25" x14ac:dyDescent="0.4">
      <c r="B2" s="56" t="s">
        <v>2</v>
      </c>
      <c r="C2" s="51"/>
      <c r="D2" s="51"/>
      <c r="E2" s="51"/>
      <c r="F2" s="51"/>
    </row>
    <row r="3" spans="2:18" s="1" customFormat="1" x14ac:dyDescent="0.25"/>
    <row r="5" spans="2:18" ht="25.5" x14ac:dyDescent="0.65">
      <c r="B5" s="53" t="s">
        <v>101</v>
      </c>
      <c r="C5" s="91" t="s">
        <v>103</v>
      </c>
      <c r="D5" s="91"/>
      <c r="E5" s="91"/>
      <c r="F5" s="91"/>
    </row>
    <row r="6" spans="2:18" ht="21" x14ac:dyDescent="0.25">
      <c r="B6" s="84" t="s">
        <v>102</v>
      </c>
      <c r="C6" s="86" t="s">
        <v>107</v>
      </c>
      <c r="D6" s="86"/>
      <c r="E6" s="86"/>
      <c r="F6" s="86"/>
    </row>
    <row r="7" spans="2:18" ht="21" x14ac:dyDescent="0.25">
      <c r="B7" s="84" t="s">
        <v>104</v>
      </c>
      <c r="C7" s="86" t="s">
        <v>146</v>
      </c>
      <c r="D7" s="86"/>
      <c r="E7" s="86"/>
      <c r="F7" s="86"/>
    </row>
    <row r="8" spans="2:18" ht="21" x14ac:dyDescent="0.25">
      <c r="B8" s="84" t="s">
        <v>105</v>
      </c>
      <c r="C8" s="86" t="s">
        <v>160</v>
      </c>
      <c r="D8" s="86"/>
      <c r="E8" s="86"/>
      <c r="F8" s="86"/>
    </row>
    <row r="9" spans="2:18" ht="21" x14ac:dyDescent="0.25">
      <c r="B9" s="84" t="s">
        <v>106</v>
      </c>
      <c r="C9" s="86" t="s">
        <v>19</v>
      </c>
      <c r="D9" s="86"/>
      <c r="E9" s="86"/>
      <c r="F9" s="86"/>
    </row>
    <row r="10" spans="2:18" s="24" customFormat="1" ht="21" x14ac:dyDescent="0.25">
      <c r="B10" s="92"/>
      <c r="C10" s="93"/>
      <c r="D10" s="93"/>
      <c r="E10" s="93"/>
      <c r="F10" s="93"/>
    </row>
    <row r="11" spans="2:18" ht="21" x14ac:dyDescent="0.35">
      <c r="B11" s="53" t="s">
        <v>109</v>
      </c>
      <c r="G11" s="242" t="s">
        <v>76</v>
      </c>
      <c r="H11" s="242"/>
      <c r="I11" s="242"/>
      <c r="J11" s="242" t="s">
        <v>77</v>
      </c>
      <c r="K11" s="242"/>
      <c r="L11" s="242"/>
      <c r="M11" s="242" t="s">
        <v>78</v>
      </c>
      <c r="N11" s="242"/>
      <c r="O11" s="242"/>
      <c r="P11" s="242" t="s">
        <v>79</v>
      </c>
      <c r="Q11" s="242"/>
      <c r="R11" s="242"/>
    </row>
    <row r="12" spans="2:18" x14ac:dyDescent="0.25">
      <c r="B12" s="94"/>
      <c r="C12" s="87"/>
      <c r="D12" s="87"/>
      <c r="E12" s="87"/>
      <c r="F12" s="87"/>
      <c r="G12" s="96" t="s">
        <v>66</v>
      </c>
      <c r="H12" s="96" t="s">
        <v>65</v>
      </c>
      <c r="I12" s="96" t="s">
        <v>67</v>
      </c>
      <c r="J12" s="96" t="s">
        <v>136</v>
      </c>
      <c r="K12" s="96" t="s">
        <v>65</v>
      </c>
      <c r="L12" s="96" t="s">
        <v>137</v>
      </c>
      <c r="M12" s="96" t="s">
        <v>136</v>
      </c>
      <c r="N12" s="96" t="s">
        <v>65</v>
      </c>
      <c r="O12" s="96" t="s">
        <v>137</v>
      </c>
      <c r="P12" s="96" t="s">
        <v>136</v>
      </c>
      <c r="Q12" s="96" t="s">
        <v>65</v>
      </c>
      <c r="R12" s="96" t="s">
        <v>137</v>
      </c>
    </row>
    <row r="13" spans="2:18" x14ac:dyDescent="0.25">
      <c r="B13" s="246" t="s">
        <v>3</v>
      </c>
      <c r="C13" s="243" t="s">
        <v>59</v>
      </c>
      <c r="D13" s="244"/>
      <c r="E13" s="244"/>
      <c r="F13" s="245"/>
      <c r="G13" s="197">
        <v>1</v>
      </c>
      <c r="H13" s="197">
        <v>3.6</v>
      </c>
      <c r="I13" s="197">
        <v>5</v>
      </c>
      <c r="J13" s="197">
        <v>3</v>
      </c>
      <c r="K13" s="197">
        <v>5.6</v>
      </c>
      <c r="L13" s="197">
        <v>7</v>
      </c>
      <c r="M13" s="197">
        <v>17</v>
      </c>
      <c r="N13" s="197">
        <v>31</v>
      </c>
      <c r="O13" s="197">
        <v>41</v>
      </c>
      <c r="P13" s="197">
        <v>4</v>
      </c>
      <c r="Q13" s="197">
        <v>11</v>
      </c>
      <c r="R13" s="197">
        <v>31</v>
      </c>
    </row>
    <row r="14" spans="2:18" x14ac:dyDescent="0.25">
      <c r="B14" s="246"/>
      <c r="C14" s="243" t="s">
        <v>60</v>
      </c>
      <c r="D14" s="244"/>
      <c r="E14" s="244"/>
      <c r="F14" s="245"/>
      <c r="G14" s="198">
        <v>1</v>
      </c>
      <c r="H14" s="198">
        <v>3.6</v>
      </c>
      <c r="I14" s="198">
        <v>5</v>
      </c>
      <c r="J14" s="198">
        <v>3</v>
      </c>
      <c r="K14" s="198">
        <v>5.6</v>
      </c>
      <c r="L14" s="198">
        <v>7</v>
      </c>
      <c r="M14" s="198">
        <v>1</v>
      </c>
      <c r="N14" s="198">
        <v>10</v>
      </c>
      <c r="O14" s="198">
        <v>41</v>
      </c>
      <c r="P14" s="198">
        <v>1</v>
      </c>
      <c r="Q14" s="198">
        <v>5</v>
      </c>
      <c r="R14" s="198">
        <v>30</v>
      </c>
    </row>
    <row r="15" spans="2:18" x14ac:dyDescent="0.25">
      <c r="B15" s="246"/>
      <c r="C15" s="243" t="s">
        <v>174</v>
      </c>
      <c r="D15" s="244"/>
      <c r="E15" s="244"/>
      <c r="F15" s="245"/>
      <c r="G15" s="248">
        <f>IF(7&gt;=$I$13,0%,IF(7&lt;$G$13,100%,IF(AND(7&lt;$I$13,7&gt;$G$13),100%-1/($I$13-$G$13)*(7))))</f>
        <v>0</v>
      </c>
      <c r="H15" s="249"/>
      <c r="I15" s="250"/>
      <c r="J15" s="248">
        <f>IF(7&gt;=$L$13,0%,IF(7&lt;$J$13,100%,IF(AND(7&lt;$L$13,7&gt;$J$13),100%-1/($L$13-$J$13)*(7))))</f>
        <v>0</v>
      </c>
      <c r="K15" s="249"/>
      <c r="L15" s="250"/>
      <c r="M15" s="248">
        <f>IF(7&gt;=$O$13,0%,IF(7&lt;$M$13,100%,IF(AND(7&lt;$O$13,7&gt;$M$13),100%-1/($O$13-$M$13)*(7))))</f>
        <v>1</v>
      </c>
      <c r="N15" s="249"/>
      <c r="O15" s="250"/>
      <c r="P15" s="95" t="s">
        <v>75</v>
      </c>
      <c r="Q15" s="95" t="s">
        <v>75</v>
      </c>
      <c r="R15" s="95" t="s">
        <v>75</v>
      </c>
    </row>
    <row r="16" spans="2:18" x14ac:dyDescent="0.25">
      <c r="B16" s="247" t="s">
        <v>49</v>
      </c>
      <c r="C16" s="243" t="s">
        <v>48</v>
      </c>
      <c r="D16" s="244"/>
      <c r="E16" s="244"/>
      <c r="F16" s="245"/>
      <c r="G16" s="198">
        <v>5</v>
      </c>
      <c r="H16" s="198">
        <v>5</v>
      </c>
      <c r="I16" s="198">
        <v>5</v>
      </c>
      <c r="J16" s="198">
        <v>5</v>
      </c>
      <c r="K16" s="198">
        <v>5</v>
      </c>
      <c r="L16" s="198">
        <v>5</v>
      </c>
      <c r="M16" s="198">
        <v>5</v>
      </c>
      <c r="N16" s="198">
        <v>5</v>
      </c>
      <c r="O16" s="198">
        <v>5</v>
      </c>
      <c r="P16" s="198" t="s">
        <v>75</v>
      </c>
      <c r="Q16" s="198" t="s">
        <v>75</v>
      </c>
      <c r="R16" s="198" t="s">
        <v>75</v>
      </c>
    </row>
    <row r="17" spans="2:18" x14ac:dyDescent="0.25">
      <c r="B17" s="247"/>
      <c r="C17" s="243" t="s">
        <v>140</v>
      </c>
      <c r="D17" s="244"/>
      <c r="E17" s="244"/>
      <c r="F17" s="245"/>
      <c r="G17" s="198">
        <v>1</v>
      </c>
      <c r="H17" s="198">
        <v>2</v>
      </c>
      <c r="I17" s="198">
        <v>6</v>
      </c>
      <c r="J17" s="198">
        <v>1</v>
      </c>
      <c r="K17" s="198">
        <v>2</v>
      </c>
      <c r="L17" s="198">
        <v>6</v>
      </c>
      <c r="M17" s="198">
        <v>1</v>
      </c>
      <c r="N17" s="198">
        <v>2</v>
      </c>
      <c r="O17" s="198">
        <v>6</v>
      </c>
      <c r="P17" s="198">
        <v>1</v>
      </c>
      <c r="Q17" s="198">
        <v>2</v>
      </c>
      <c r="R17" s="198">
        <v>6</v>
      </c>
    </row>
    <row r="18" spans="2:18" x14ac:dyDescent="0.25">
      <c r="B18" s="247"/>
      <c r="C18" s="243" t="s">
        <v>141</v>
      </c>
      <c r="D18" s="244"/>
      <c r="E18" s="244"/>
      <c r="F18" s="245"/>
      <c r="G18" s="198">
        <v>2</v>
      </c>
      <c r="H18" s="198">
        <v>3</v>
      </c>
      <c r="I18" s="198">
        <v>7</v>
      </c>
      <c r="J18" s="198">
        <v>2</v>
      </c>
      <c r="K18" s="198">
        <v>3</v>
      </c>
      <c r="L18" s="198">
        <v>7</v>
      </c>
      <c r="M18" s="198">
        <v>2</v>
      </c>
      <c r="N18" s="198">
        <v>3</v>
      </c>
      <c r="O18" s="198">
        <v>7</v>
      </c>
      <c r="P18" s="198">
        <v>2</v>
      </c>
      <c r="Q18" s="198">
        <v>3</v>
      </c>
      <c r="R18" s="198">
        <v>7</v>
      </c>
    </row>
    <row r="19" spans="2:18" x14ac:dyDescent="0.25">
      <c r="B19" s="54" t="s">
        <v>62</v>
      </c>
    </row>
    <row r="20" spans="2:18" x14ac:dyDescent="0.25">
      <c r="B20" s="55" t="s">
        <v>63</v>
      </c>
    </row>
    <row r="22" spans="2:18" ht="21" x14ac:dyDescent="0.35">
      <c r="B22" s="53" t="s">
        <v>180</v>
      </c>
    </row>
    <row r="23" spans="2:18" x14ac:dyDescent="0.25">
      <c r="B23" s="97" t="s">
        <v>111</v>
      </c>
      <c r="C23" s="97" t="s">
        <v>113</v>
      </c>
      <c r="D23" s="97" t="s">
        <v>114</v>
      </c>
      <c r="E23" s="97" t="s">
        <v>115</v>
      </c>
    </row>
    <row r="24" spans="2:18" x14ac:dyDescent="0.25">
      <c r="B24" s="100" t="s">
        <v>41</v>
      </c>
      <c r="C24" s="82">
        <v>0.5</v>
      </c>
      <c r="D24" s="82">
        <v>0.25</v>
      </c>
      <c r="E24" s="82">
        <v>0.15</v>
      </c>
    </row>
    <row r="25" spans="2:18" x14ac:dyDescent="0.25">
      <c r="B25" s="100" t="s">
        <v>42</v>
      </c>
      <c r="C25" s="82">
        <v>0.4</v>
      </c>
      <c r="D25" s="82">
        <v>0.25</v>
      </c>
      <c r="E25" s="82">
        <v>0.15</v>
      </c>
    </row>
    <row r="26" spans="2:18" x14ac:dyDescent="0.25">
      <c r="B26" s="100" t="s">
        <v>43</v>
      </c>
      <c r="C26" s="82">
        <v>0.05</v>
      </c>
      <c r="D26" s="82">
        <v>0.25</v>
      </c>
      <c r="E26" s="82">
        <v>0.2</v>
      </c>
    </row>
    <row r="27" spans="2:18" x14ac:dyDescent="0.25">
      <c r="B27" s="172" t="s">
        <v>44</v>
      </c>
      <c r="C27" s="173">
        <v>0.05</v>
      </c>
      <c r="D27" s="173">
        <f>1-(D24+D25+D26)</f>
        <v>0.25</v>
      </c>
      <c r="E27" s="173">
        <f>1-(E24+E25+E26)</f>
        <v>0.5</v>
      </c>
    </row>
    <row r="28" spans="2:18" x14ac:dyDescent="0.25">
      <c r="B28" s="174" t="s">
        <v>139</v>
      </c>
      <c r="C28" s="175">
        <f>IF(SUM(C24:C27)=100%, SUM(C24:C27), "ERROR!")</f>
        <v>1</v>
      </c>
      <c r="D28" s="175">
        <f t="shared" ref="D28:E28" si="0">SUM(D24:D27)</f>
        <v>1</v>
      </c>
      <c r="E28" s="175">
        <f t="shared" si="0"/>
        <v>1</v>
      </c>
    </row>
    <row r="29" spans="2:18" ht="15" customHeight="1" x14ac:dyDescent="0.25">
      <c r="B29" s="55" t="s">
        <v>82</v>
      </c>
      <c r="C29" s="55"/>
      <c r="D29" s="55"/>
      <c r="E29" s="55"/>
      <c r="F29" s="55"/>
      <c r="G29" s="75"/>
    </row>
    <row r="30" spans="2:18" x14ac:dyDescent="0.25">
      <c r="B30" s="55" t="s">
        <v>185</v>
      </c>
      <c r="C30" s="55"/>
      <c r="D30" s="55"/>
      <c r="E30" s="55"/>
      <c r="F30" s="55"/>
    </row>
  </sheetData>
  <mergeCells count="15">
    <mergeCell ref="P11:R11"/>
    <mergeCell ref="C13:F13"/>
    <mergeCell ref="B13:B15"/>
    <mergeCell ref="B16:B18"/>
    <mergeCell ref="G11:I11"/>
    <mergeCell ref="J11:L11"/>
    <mergeCell ref="M11:O11"/>
    <mergeCell ref="C14:F14"/>
    <mergeCell ref="C15:F15"/>
    <mergeCell ref="C16:F16"/>
    <mergeCell ref="C17:F17"/>
    <mergeCell ref="C18:F18"/>
    <mergeCell ref="G15:I15"/>
    <mergeCell ref="J15:L15"/>
    <mergeCell ref="M15:O1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B1:D21"/>
  <sheetViews>
    <sheetView showGridLines="0" zoomScaleNormal="100" workbookViewId="0"/>
  </sheetViews>
  <sheetFormatPr defaultRowHeight="15" x14ac:dyDescent="0.25"/>
  <cols>
    <col min="2" max="2" width="14.5703125" customWidth="1"/>
    <col min="3" max="3" width="12.28515625" customWidth="1"/>
    <col min="4" max="4" width="9.7109375" bestFit="1" customWidth="1"/>
  </cols>
  <sheetData>
    <row r="1" spans="2:4" s="1" customFormat="1" x14ac:dyDescent="0.25"/>
    <row r="2" spans="2:4" s="1" customFormat="1" ht="26.25" x14ac:dyDescent="0.4">
      <c r="B2" s="56" t="s">
        <v>2</v>
      </c>
      <c r="C2" s="51"/>
    </row>
    <row r="3" spans="2:4" s="1" customFormat="1" x14ac:dyDescent="0.25"/>
    <row r="5" spans="2:4" ht="21" x14ac:dyDescent="0.35">
      <c r="B5" s="53" t="s">
        <v>110</v>
      </c>
    </row>
    <row r="6" spans="2:4" ht="21" x14ac:dyDescent="0.25">
      <c r="B6" s="86" t="s">
        <v>112</v>
      </c>
    </row>
    <row r="8" spans="2:4" ht="21" x14ac:dyDescent="0.35">
      <c r="B8" s="53" t="s">
        <v>69</v>
      </c>
    </row>
    <row r="9" spans="2:4" x14ac:dyDescent="0.25">
      <c r="B9" s="101" t="s">
        <v>84</v>
      </c>
      <c r="C9" s="99">
        <v>0.25</v>
      </c>
    </row>
    <row r="10" spans="2:4" x14ac:dyDescent="0.25">
      <c r="B10" s="101" t="s">
        <v>5</v>
      </c>
      <c r="C10" s="98">
        <v>45</v>
      </c>
    </row>
    <row r="11" spans="2:4" x14ac:dyDescent="0.25">
      <c r="B11" s="221" t="s">
        <v>68</v>
      </c>
    </row>
    <row r="12" spans="2:4" x14ac:dyDescent="0.25">
      <c r="B12" s="221" t="s">
        <v>181</v>
      </c>
    </row>
    <row r="14" spans="2:4" ht="21" x14ac:dyDescent="0.35">
      <c r="B14" s="53" t="s">
        <v>135</v>
      </c>
    </row>
    <row r="15" spans="2:4" ht="15.75" x14ac:dyDescent="0.25">
      <c r="B15" s="152" t="s">
        <v>84</v>
      </c>
    </row>
    <row r="16" spans="2:4" x14ac:dyDescent="0.25">
      <c r="B16" s="89" t="s">
        <v>66</v>
      </c>
      <c r="C16" s="89" t="s">
        <v>65</v>
      </c>
      <c r="D16" s="89" t="s">
        <v>67</v>
      </c>
    </row>
    <row r="17" spans="2:4" x14ac:dyDescent="0.25">
      <c r="B17" s="153">
        <v>0.1</v>
      </c>
      <c r="C17" s="153">
        <v>0.25</v>
      </c>
      <c r="D17" s="153">
        <v>0.42</v>
      </c>
    </row>
    <row r="18" spans="2:4" x14ac:dyDescent="0.25">
      <c r="B18" s="26"/>
      <c r="C18" s="17"/>
    </row>
    <row r="19" spans="2:4" ht="15.75" x14ac:dyDescent="0.25">
      <c r="B19" s="152" t="s">
        <v>5</v>
      </c>
    </row>
    <row r="20" spans="2:4" x14ac:dyDescent="0.25">
      <c r="B20" s="89" t="s">
        <v>66</v>
      </c>
      <c r="C20" s="89" t="s">
        <v>65</v>
      </c>
      <c r="D20" s="89" t="s">
        <v>67</v>
      </c>
    </row>
    <row r="21" spans="2:4" x14ac:dyDescent="0.25">
      <c r="B21" s="154">
        <v>30</v>
      </c>
      <c r="C21" s="154">
        <v>45</v>
      </c>
      <c r="D21" s="154">
        <v>60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C50"/>
  <sheetViews>
    <sheetView showGridLines="0" topLeftCell="A5" zoomScale="80" zoomScaleNormal="80" workbookViewId="0">
      <selection activeCell="B7" sqref="B7"/>
    </sheetView>
  </sheetViews>
  <sheetFormatPr defaultRowHeight="15" x14ac:dyDescent="0.25"/>
  <cols>
    <col min="1" max="1" width="3.7109375" customWidth="1"/>
    <col min="2" max="2" width="6.7109375" customWidth="1"/>
    <col min="3" max="3" width="74.28515625" bestFit="1" customWidth="1"/>
    <col min="4" max="4" width="13.7109375" customWidth="1"/>
    <col min="5" max="5" width="14.28515625" customWidth="1"/>
    <col min="6" max="6" width="15.140625" customWidth="1"/>
    <col min="7" max="7" width="16.7109375" customWidth="1"/>
    <col min="8" max="8" width="16.42578125" customWidth="1"/>
    <col min="9" max="9" width="17.5703125" customWidth="1"/>
    <col min="10" max="10" width="15.85546875" customWidth="1"/>
    <col min="11" max="11" width="12.28515625" customWidth="1"/>
    <col min="12" max="12" width="13.7109375" customWidth="1"/>
    <col min="13" max="13" width="16.85546875" customWidth="1"/>
    <col min="14" max="14" width="14.28515625" bestFit="1" customWidth="1"/>
    <col min="15" max="15" width="19.28515625" customWidth="1"/>
    <col min="16" max="16" width="12.5703125" customWidth="1"/>
    <col min="17" max="17" width="14.5703125" customWidth="1"/>
    <col min="18" max="18" width="14.85546875" customWidth="1"/>
    <col min="19" max="19" width="14.5703125" customWidth="1"/>
    <col min="20" max="20" width="20.5703125" customWidth="1"/>
    <col min="21" max="21" width="17" customWidth="1"/>
    <col min="22" max="22" width="12.5703125" customWidth="1"/>
    <col min="23" max="23" width="16.42578125" customWidth="1"/>
    <col min="24" max="24" width="12.85546875" customWidth="1"/>
    <col min="25" max="25" width="12.140625" customWidth="1"/>
    <col min="26" max="26" width="21.28515625" customWidth="1"/>
    <col min="27" max="27" width="17.7109375" customWidth="1"/>
    <col min="29" max="29" width="13" customWidth="1"/>
    <col min="32" max="32" width="10.5703125" bestFit="1" customWidth="1"/>
    <col min="35" max="35" width="19.28515625" customWidth="1"/>
    <col min="38" max="38" width="12.85546875" customWidth="1"/>
    <col min="41" max="41" width="12.85546875" customWidth="1"/>
    <col min="44" max="44" width="13.42578125" customWidth="1"/>
  </cols>
  <sheetData>
    <row r="1" spans="2:2" s="1" customFormat="1" x14ac:dyDescent="0.25"/>
    <row r="2" spans="2:2" s="1" customFormat="1" ht="21" x14ac:dyDescent="0.35">
      <c r="B2" s="56" t="s">
        <v>183</v>
      </c>
    </row>
    <row r="3" spans="2:2" s="1" customFormat="1" ht="21" x14ac:dyDescent="0.35">
      <c r="B3" s="85" t="s">
        <v>173</v>
      </c>
    </row>
    <row r="4" spans="2:2" s="1" customFormat="1" x14ac:dyDescent="0.25"/>
    <row r="6" spans="2:2" x14ac:dyDescent="0.25">
      <c r="B6" t="s">
        <v>189</v>
      </c>
    </row>
    <row r="7" spans="2:2" x14ac:dyDescent="0.25">
      <c r="B7" t="s">
        <v>172</v>
      </c>
    </row>
    <row r="8" spans="2:2" x14ac:dyDescent="0.25">
      <c r="B8" t="s">
        <v>176</v>
      </c>
    </row>
    <row r="35" spans="3:3" x14ac:dyDescent="0.25">
      <c r="C35" s="177"/>
    </row>
    <row r="50" spans="3:3" x14ac:dyDescent="0.25">
      <c r="C50" s="177" t="s">
        <v>134</v>
      </c>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C49"/>
  <sheetViews>
    <sheetView showGridLines="0" zoomScale="62" zoomScaleNormal="62" workbookViewId="0">
      <selection activeCell="O21" sqref="O21"/>
    </sheetView>
  </sheetViews>
  <sheetFormatPr defaultRowHeight="15" x14ac:dyDescent="0.25"/>
  <cols>
    <col min="1" max="1" width="3.7109375" customWidth="1"/>
    <col min="2" max="2" width="6.7109375" customWidth="1"/>
    <col min="3" max="3" width="74.28515625" bestFit="1" customWidth="1"/>
    <col min="4" max="4" width="13.7109375" customWidth="1"/>
    <col min="5" max="5" width="14.28515625" customWidth="1"/>
    <col min="6" max="6" width="15.140625" customWidth="1"/>
    <col min="7" max="7" width="16.7109375" customWidth="1"/>
    <col min="8" max="8" width="16.42578125" customWidth="1"/>
    <col min="9" max="9" width="17.5703125" customWidth="1"/>
    <col min="10" max="10" width="15.85546875" customWidth="1"/>
    <col min="11" max="11" width="12.28515625" customWidth="1"/>
    <col min="12" max="12" width="13.7109375" customWidth="1"/>
    <col min="13" max="13" width="16.85546875" customWidth="1"/>
    <col min="14" max="14" width="14.28515625" bestFit="1" customWidth="1"/>
    <col min="15" max="15" width="19.28515625" customWidth="1"/>
    <col min="16" max="16" width="12.5703125" customWidth="1"/>
    <col min="17" max="17" width="14.5703125" customWidth="1"/>
    <col min="18" max="18" width="14.85546875" customWidth="1"/>
    <col min="19" max="19" width="14.5703125" customWidth="1"/>
    <col min="20" max="20" width="20.5703125" customWidth="1"/>
    <col min="21" max="21" width="17" customWidth="1"/>
    <col min="22" max="22" width="12.5703125" customWidth="1"/>
    <col min="23" max="23" width="16.42578125" customWidth="1"/>
    <col min="24" max="24" width="12.85546875" customWidth="1"/>
    <col min="25" max="25" width="12.140625" customWidth="1"/>
    <col min="26" max="26" width="21.28515625" customWidth="1"/>
    <col min="27" max="27" width="17.7109375" customWidth="1"/>
    <col min="29" max="29" width="13" customWidth="1"/>
    <col min="32" max="32" width="10.5703125" bestFit="1" customWidth="1"/>
    <col min="35" max="35" width="19.28515625" customWidth="1"/>
    <col min="38" max="38" width="12.85546875" customWidth="1"/>
    <col min="41" max="41" width="12.85546875" customWidth="1"/>
    <col min="44" max="44" width="13.42578125" customWidth="1"/>
  </cols>
  <sheetData>
    <row r="1" spans="2:2" s="1" customFormat="1" x14ac:dyDescent="0.25"/>
    <row r="2" spans="2:2" s="1" customFormat="1" ht="21" x14ac:dyDescent="0.35">
      <c r="B2" s="56" t="s">
        <v>182</v>
      </c>
    </row>
    <row r="3" spans="2:2" s="1" customFormat="1" ht="21" x14ac:dyDescent="0.35">
      <c r="B3" s="85" t="s">
        <v>138</v>
      </c>
    </row>
    <row r="4" spans="2:2" s="1" customFormat="1" x14ac:dyDescent="0.25"/>
    <row r="5" spans="2:2" s="1" customFormat="1" x14ac:dyDescent="0.25"/>
    <row r="7" spans="2:2" x14ac:dyDescent="0.25">
      <c r="B7" t="s">
        <v>190</v>
      </c>
    </row>
    <row r="8" spans="2:2" x14ac:dyDescent="0.25">
      <c r="B8" t="s">
        <v>171</v>
      </c>
    </row>
    <row r="49" spans="3:3" x14ac:dyDescent="0.25">
      <c r="C49" t="s">
        <v>192</v>
      </c>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118"/>
  <sheetViews>
    <sheetView showGridLines="0" zoomScale="70" zoomScaleNormal="70" workbookViewId="0">
      <selection activeCell="B6" sqref="B6"/>
    </sheetView>
  </sheetViews>
  <sheetFormatPr defaultRowHeight="15" x14ac:dyDescent="0.25"/>
  <cols>
    <col min="1" max="1" width="3.7109375" customWidth="1"/>
    <col min="2" max="2" width="6.7109375" customWidth="1"/>
    <col min="3" max="3" width="74.28515625" bestFit="1" customWidth="1"/>
    <col min="4" max="4" width="13.7109375" customWidth="1"/>
    <col min="5" max="5" width="14.28515625" customWidth="1"/>
    <col min="6" max="6" width="15.140625" customWidth="1"/>
    <col min="7" max="7" width="16.7109375" customWidth="1"/>
    <col min="8" max="8" width="16.42578125" customWidth="1"/>
    <col min="9" max="9" width="17.5703125" customWidth="1"/>
    <col min="10" max="10" width="15.85546875" customWidth="1"/>
    <col min="11" max="11" width="12.28515625" customWidth="1"/>
    <col min="12" max="12" width="13.7109375" customWidth="1"/>
    <col min="13" max="13" width="16.85546875" customWidth="1"/>
    <col min="14" max="14" width="14.28515625" customWidth="1"/>
    <col min="15" max="15" width="19.28515625" customWidth="1"/>
    <col min="16" max="16" width="12.5703125" customWidth="1"/>
    <col min="17" max="17" width="14.5703125" customWidth="1"/>
    <col min="18" max="18" width="14.85546875" customWidth="1"/>
    <col min="19" max="19" width="14.5703125" customWidth="1"/>
    <col min="20" max="20" width="20.5703125" customWidth="1"/>
    <col min="21" max="21" width="17.140625" customWidth="1"/>
    <col min="22" max="22" width="12.5703125" customWidth="1"/>
    <col min="23" max="23" width="16.42578125" customWidth="1"/>
    <col min="24" max="24" width="12.85546875" customWidth="1"/>
    <col min="25" max="25" width="12.140625" customWidth="1"/>
    <col min="26" max="26" width="21.28515625" customWidth="1"/>
    <col min="27" max="27" width="17.7109375" customWidth="1"/>
    <col min="29" max="29" width="13" customWidth="1"/>
    <col min="32" max="32" width="10.5703125" bestFit="1" customWidth="1"/>
    <col min="35" max="35" width="19.28515625" customWidth="1"/>
    <col min="38" max="38" width="12.85546875" customWidth="1"/>
    <col min="41" max="41" width="12.85546875" customWidth="1"/>
    <col min="44" max="44" width="13.42578125" customWidth="1"/>
  </cols>
  <sheetData>
    <row r="1" spans="1:2" s="1" customFormat="1" x14ac:dyDescent="0.25"/>
    <row r="2" spans="1:2" s="1" customFormat="1" ht="21" x14ac:dyDescent="0.35">
      <c r="B2" s="56" t="s">
        <v>184</v>
      </c>
    </row>
    <row r="3" spans="1:2" s="1" customFormat="1" x14ac:dyDescent="0.25"/>
    <row r="4" spans="1:2" s="1" customFormat="1" x14ac:dyDescent="0.25"/>
    <row r="5" spans="1:2" s="24" customFormat="1" x14ac:dyDescent="0.25"/>
    <row r="6" spans="1:2" x14ac:dyDescent="0.25">
      <c r="B6" t="s">
        <v>191</v>
      </c>
    </row>
    <row r="7" spans="1:2" x14ac:dyDescent="0.25">
      <c r="B7" t="s">
        <v>171</v>
      </c>
    </row>
    <row r="8" spans="1:2" x14ac:dyDescent="0.25">
      <c r="B8" t="s">
        <v>177</v>
      </c>
    </row>
    <row r="10" spans="1:2" s="76" customFormat="1" ht="21" x14ac:dyDescent="0.35">
      <c r="A10"/>
      <c r="B10" s="151" t="s">
        <v>118</v>
      </c>
    </row>
    <row r="45" spans="1:2" s="76" customFormat="1" ht="21" x14ac:dyDescent="0.35">
      <c r="A45"/>
      <c r="B45" s="151" t="s">
        <v>132</v>
      </c>
    </row>
    <row r="81" spans="1:2" s="76" customFormat="1" ht="21" x14ac:dyDescent="0.35">
      <c r="A81"/>
      <c r="B81" s="151" t="s">
        <v>133</v>
      </c>
    </row>
    <row r="118" spans="2:2" x14ac:dyDescent="0.25">
      <c r="B118">
        <f>1300-550</f>
        <v>750</v>
      </c>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81daf041-c113-401c-bf82-107f5d396711">PFY6PPX2AYTS-1024940708-12</_dlc_DocId>
    <_dlc_DocIdUrl xmlns="81daf041-c113-401c-bf82-107f5d396711">
      <Url>https://esp.cdc.gov/sites/ncezid/DPEI/HEMU/_layouts/15/DocIdRedir.aspx?ID=PFY6PPX2AYTS-1024940708-12</Url>
      <Description>PFY6PPX2AYTS-1024940708-12</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F21E15B2FE99EE4BA8059B9A03DDF25D" ma:contentTypeVersion="0" ma:contentTypeDescription="Create a new document." ma:contentTypeScope="" ma:versionID="fb4d3f5f4957c47fa1e44bba7028386f">
  <xsd:schema xmlns:xsd="http://www.w3.org/2001/XMLSchema" xmlns:xs="http://www.w3.org/2001/XMLSchema" xmlns:p="http://schemas.microsoft.com/office/2006/metadata/properties" xmlns:ns2="81daf041-c113-401c-bf82-107f5d396711" targetNamespace="http://schemas.microsoft.com/office/2006/metadata/properties" ma:root="true" ma:fieldsID="cd89f18d43787e6e61c67e7add6b5be3" ns2:_="">
    <xsd:import namespace="81daf041-c113-401c-bf82-107f5d39671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daf041-c113-401c-bf82-107f5d39671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7B73D6-C7D2-45A4-BC1C-DAF1DDBB9350}">
  <ds:schemaRefs>
    <ds:schemaRef ds:uri="81daf041-c113-401c-bf82-107f5d39671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B650DA82-F76A-45FE-A555-FFF91D8A8926}">
  <ds:schemaRefs>
    <ds:schemaRef ds:uri="http://schemas.microsoft.com/sharepoint/v3/contenttype/forms"/>
  </ds:schemaRefs>
</ds:datastoreItem>
</file>

<file path=customXml/itemProps3.xml><?xml version="1.0" encoding="utf-8"?>
<ds:datastoreItem xmlns:ds="http://schemas.openxmlformats.org/officeDocument/2006/customXml" ds:itemID="{4574D953-BC97-44DD-BCB0-9BBF109D1A62}">
  <ds:schemaRefs>
    <ds:schemaRef ds:uri="http://schemas.microsoft.com/sharepoint/events"/>
  </ds:schemaRefs>
</ds:datastoreItem>
</file>

<file path=customXml/itemProps4.xml><?xml version="1.0" encoding="utf-8"?>
<ds:datastoreItem xmlns:ds="http://schemas.openxmlformats.org/officeDocument/2006/customXml" ds:itemID="{C68053BE-456D-43EF-A077-9CD5358238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daf041-c113-401c-bf82-107f5d3967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Title</vt:lpstr>
      <vt:lpstr>Description</vt:lpstr>
      <vt:lpstr>Index</vt:lpstr>
      <vt:lpstr>Inputs - Policies</vt:lpstr>
      <vt:lpstr>Inputs - Treatment</vt:lpstr>
      <vt:lpstr>Inputs - Outbreak</vt:lpstr>
      <vt:lpstr>Results 1</vt:lpstr>
      <vt:lpstr>Results 2</vt:lpstr>
      <vt:lpstr>Results 3</vt:lpstr>
      <vt:lpstr>Calculations 1</vt:lpstr>
      <vt:lpstr>Calculations 2</vt:lpstr>
      <vt:lpstr>Sources (2)</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CDC User</dc:creator>
  <cp:lastModifiedBy>Maria Da Silva Carias, Cristina (CDC/DDID/NCEZID/DPE</cp:lastModifiedBy>
  <cp:lastPrinted>2016-09-16T15:24:17Z</cp:lastPrinted>
  <dcterms:created xsi:type="dcterms:W3CDTF">2015-11-13T16:03:16Z</dcterms:created>
  <dcterms:modified xsi:type="dcterms:W3CDTF">2019-02-07T15:19:28Z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0x010100F21E15B2FE99EE4BA8059B9A03DDF25D</vt:lpwstr>
  </property>
  <property fmtid="{D5CDD505-2E9C-101B-9397-08002B2CF9AE}" pid="3" name="_dlc_DocIdItemGuid">
    <vt:lpwstr>02464977-739c-44d0-a764-b3ccc1037ae1</vt:lpwstr>
  </property>
</Properties>
</file>