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35" windowWidth="20115" windowHeight="7635" tabRatio="762" activeTab="3"/>
  </bookViews>
  <sheets>
    <sheet name="Page Area Date - 03-07" sheetId="1" r:id="rId1"/>
    <sheet name="Page Area Date - 04-07" sheetId="5" r:id="rId2"/>
    <sheet name="Page Area Date - 05-07" sheetId="7" r:id="rId3"/>
    <sheet name="TOTALS" sheetId="9" r:id="rId4"/>
  </sheets>
  <calcPr calcId="144525"/>
</workbook>
</file>

<file path=xl/calcChain.xml><?xml version="1.0" encoding="utf-8"?>
<calcChain xmlns="http://schemas.openxmlformats.org/spreadsheetml/2006/main">
  <c r="J18" i="5" l="1"/>
  <c r="AC8" i="5" l="1"/>
  <c r="AC7" i="5"/>
  <c r="AC6" i="5"/>
  <c r="AA24" i="5"/>
  <c r="AC24" i="5" s="1"/>
  <c r="AA23" i="5"/>
  <c r="AC23" i="5" s="1"/>
  <c r="AA22" i="5"/>
  <c r="AC22" i="5" s="1"/>
  <c r="AA21" i="5"/>
  <c r="AC21" i="5" s="1"/>
  <c r="AA20" i="5"/>
  <c r="AC20" i="5" s="1"/>
  <c r="AA19" i="5"/>
  <c r="AC19" i="5" s="1"/>
  <c r="AA18" i="5"/>
  <c r="AC18" i="5" s="1"/>
  <c r="AA17" i="5"/>
  <c r="AC17" i="5" s="1"/>
  <c r="AA16" i="5"/>
  <c r="AC16" i="5" s="1"/>
  <c r="AA15" i="5"/>
  <c r="AC15" i="5" s="1"/>
  <c r="AA14" i="5"/>
  <c r="AC14" i="5" s="1"/>
  <c r="AA13" i="5"/>
  <c r="AC13" i="5" s="1"/>
  <c r="AA12" i="5"/>
  <c r="AC12" i="5" s="1"/>
  <c r="AA11" i="5"/>
  <c r="AC11" i="5" s="1"/>
  <c r="AA10" i="5"/>
  <c r="AC10" i="5" s="1"/>
  <c r="AA9" i="5"/>
  <c r="AC9" i="5" s="1"/>
  <c r="V34" i="5" l="1"/>
  <c r="V32" i="5"/>
  <c r="V25" i="5"/>
  <c r="V24" i="5"/>
  <c r="V6" i="5"/>
  <c r="T5" i="1" l="1"/>
  <c r="U5" i="5"/>
  <c r="T5" i="7"/>
  <c r="K34" i="5" l="1"/>
  <c r="K32" i="5"/>
  <c r="K25" i="5"/>
  <c r="K24" i="5"/>
  <c r="K18" i="5"/>
  <c r="J30" i="7" l="1"/>
  <c r="J17" i="7"/>
  <c r="J16" i="7"/>
  <c r="J15" i="7"/>
  <c r="J12" i="7"/>
  <c r="J10" i="7"/>
  <c r="J9" i="7"/>
  <c r="J7" i="7" l="1"/>
  <c r="I16" i="1"/>
  <c r="J6" i="7"/>
  <c r="J33" i="5"/>
  <c r="J31" i="5"/>
  <c r="J30" i="5"/>
  <c r="J29" i="5"/>
  <c r="J28" i="5"/>
  <c r="J27" i="5"/>
  <c r="J26" i="5"/>
  <c r="J23" i="5"/>
  <c r="J22" i="5"/>
  <c r="J21" i="5"/>
  <c r="J20" i="5"/>
  <c r="J19" i="5"/>
  <c r="J17" i="5"/>
  <c r="V17" i="5" l="1"/>
  <c r="K17" i="5"/>
  <c r="V22" i="5"/>
  <c r="K22" i="5"/>
  <c r="V28" i="5"/>
  <c r="K28" i="5"/>
  <c r="V33" i="5"/>
  <c r="K33" i="5"/>
  <c r="V19" i="5"/>
  <c r="K19" i="5"/>
  <c r="V23" i="5"/>
  <c r="K23" i="5"/>
  <c r="V29" i="5"/>
  <c r="K29" i="5"/>
  <c r="V20" i="5"/>
  <c r="V26" i="5"/>
  <c r="K26" i="5"/>
  <c r="V30" i="5"/>
  <c r="K30" i="5"/>
  <c r="V21" i="5"/>
  <c r="V27" i="5"/>
  <c r="K27" i="5"/>
  <c r="V31" i="5"/>
  <c r="K31" i="5"/>
  <c r="J16" i="5"/>
  <c r="I16" i="5"/>
  <c r="J15" i="5"/>
  <c r="V16" i="5" l="1"/>
  <c r="K16" i="5"/>
  <c r="V15" i="5"/>
  <c r="K15" i="5"/>
  <c r="J14" i="5"/>
  <c r="J13" i="5"/>
  <c r="J12" i="5"/>
  <c r="J11" i="5"/>
  <c r="V14" i="5" l="1"/>
  <c r="V11" i="5"/>
  <c r="V12" i="5"/>
  <c r="K12" i="5"/>
  <c r="V13" i="5"/>
  <c r="K13" i="5"/>
  <c r="J10" i="5"/>
  <c r="V10" i="5" l="1"/>
  <c r="K10" i="5"/>
  <c r="J9" i="5"/>
  <c r="V9" i="5" l="1"/>
  <c r="K9" i="5"/>
  <c r="J8" i="5"/>
  <c r="V8" i="5" l="1"/>
  <c r="J7" i="5"/>
  <c r="J5" i="5"/>
  <c r="V5" i="5" l="1"/>
  <c r="K5" i="5"/>
  <c r="V7" i="5"/>
  <c r="B14" i="9"/>
  <c r="B15" i="9"/>
  <c r="B16" i="9"/>
  <c r="B9" i="9"/>
  <c r="G32" i="7" l="1"/>
  <c r="G31" i="7"/>
  <c r="G26" i="7"/>
  <c r="G25" i="7"/>
  <c r="G24" i="7"/>
  <c r="D24" i="7"/>
  <c r="G23" i="7"/>
  <c r="G21" i="7"/>
  <c r="D21" i="7"/>
  <c r="E20" i="7"/>
  <c r="G20" i="7"/>
  <c r="G19" i="7"/>
  <c r="G18" i="7"/>
  <c r="F14" i="7"/>
  <c r="F12" i="7"/>
  <c r="F7" i="7"/>
  <c r="H21" i="5"/>
  <c r="D21" i="5"/>
  <c r="K21" i="5" s="1"/>
  <c r="D20" i="5"/>
  <c r="K20" i="5" s="1"/>
  <c r="D14" i="5"/>
  <c r="K14" i="5" s="1"/>
  <c r="D11" i="5"/>
  <c r="K11" i="5" s="1"/>
  <c r="D8" i="5"/>
  <c r="K8" i="5" s="1"/>
  <c r="D7" i="5"/>
  <c r="K7" i="5" s="1"/>
  <c r="D6" i="5"/>
  <c r="K6" i="5" s="1"/>
  <c r="B5" i="9" l="1"/>
  <c r="D5" i="9" s="1"/>
  <c r="J35" i="1"/>
  <c r="J33" i="1"/>
  <c r="J31" i="1"/>
  <c r="J11" i="1"/>
  <c r="D35" i="1"/>
  <c r="D34" i="1"/>
  <c r="D32" i="1"/>
  <c r="D28" i="1"/>
  <c r="F27" i="1"/>
  <c r="D27" i="1"/>
  <c r="D26" i="1"/>
  <c r="D25" i="1"/>
  <c r="D24" i="1"/>
  <c r="D23" i="1"/>
  <c r="D22" i="1"/>
  <c r="D21" i="1"/>
  <c r="D20" i="1"/>
  <c r="D19" i="1"/>
  <c r="D18" i="1"/>
  <c r="D17" i="1"/>
  <c r="D15" i="1"/>
  <c r="D14" i="1"/>
  <c r="D13" i="1"/>
  <c r="F13" i="1"/>
  <c r="B4" i="9" s="1"/>
  <c r="D4" i="9" s="1"/>
  <c r="D12" i="1"/>
  <c r="D11" i="1"/>
  <c r="D10" i="1"/>
  <c r="D9" i="1"/>
  <c r="E8" i="1"/>
  <c r="D8" i="1"/>
  <c r="D7" i="1"/>
  <c r="D6" i="1"/>
  <c r="D5" i="1"/>
  <c r="B3" i="9" s="1"/>
  <c r="B6" i="9" l="1"/>
  <c r="D6" i="9" s="1"/>
  <c r="D3" i="9"/>
  <c r="B7" i="9" l="1"/>
  <c r="C4" i="9" s="1"/>
  <c r="F3" i="9"/>
  <c r="F4" i="9" s="1"/>
  <c r="D7" i="9" l="1"/>
  <c r="C6" i="9"/>
  <c r="C3" i="9"/>
  <c r="C5" i="9"/>
</calcChain>
</file>

<file path=xl/sharedStrings.xml><?xml version="1.0" encoding="utf-8"?>
<sst xmlns="http://schemas.openxmlformats.org/spreadsheetml/2006/main" count="271" uniqueCount="202">
  <si>
    <t>Date</t>
  </si>
  <si>
    <t>Cyclone</t>
  </si>
  <si>
    <t>eboulement / chute de pierres</t>
  </si>
  <si>
    <t>1 March 2007</t>
  </si>
  <si>
    <t>2 March 2007</t>
  </si>
  <si>
    <t>3 March 2007</t>
  </si>
  <si>
    <t>4 March 2007</t>
  </si>
  <si>
    <t>5 March 2007</t>
  </si>
  <si>
    <t>6 March 2007</t>
  </si>
  <si>
    <t>7 March 2007</t>
  </si>
  <si>
    <t>8 March 2007</t>
  </si>
  <si>
    <t>9 March 2007</t>
  </si>
  <si>
    <t>10 March 2007</t>
  </si>
  <si>
    <t>11 March 2007</t>
  </si>
  <si>
    <t>12 March 2007</t>
  </si>
  <si>
    <t>13 March 2007</t>
  </si>
  <si>
    <t>14 March 2007</t>
  </si>
  <si>
    <t>15 March 2007</t>
  </si>
  <si>
    <t>16 March 2007</t>
  </si>
  <si>
    <t>17 March 2007</t>
  </si>
  <si>
    <t>18 March 2007</t>
  </si>
  <si>
    <t>19 March 2007</t>
  </si>
  <si>
    <t>20 March 2007</t>
  </si>
  <si>
    <t>21 March 2007</t>
  </si>
  <si>
    <t>22 March 2007</t>
  </si>
  <si>
    <t>23 March 2007</t>
  </si>
  <si>
    <t>24 March 2007</t>
  </si>
  <si>
    <t>25 March 2007</t>
  </si>
  <si>
    <t>26 March 2007</t>
  </si>
  <si>
    <t>27 March 2007</t>
  </si>
  <si>
    <t>28 March 2007</t>
  </si>
  <si>
    <t>29 March 2007</t>
  </si>
  <si>
    <t>30 March 2007</t>
  </si>
  <si>
    <t>31 March 2007</t>
  </si>
  <si>
    <t>Hazards reported in Le Journal de L'ile: March - May 2007</t>
  </si>
  <si>
    <t>Piton de la Fournaise</t>
  </si>
  <si>
    <t>Page Area (cm²)</t>
  </si>
  <si>
    <t>Top Page Number</t>
  </si>
  <si>
    <t>Code</t>
  </si>
  <si>
    <t>a*</t>
  </si>
  <si>
    <t>b**</t>
  </si>
  <si>
    <t xml:space="preserve">c </t>
  </si>
  <si>
    <t>Les "Squelletes Mystérieux"</t>
  </si>
  <si>
    <t>d</t>
  </si>
  <si>
    <t>e</t>
  </si>
  <si>
    <t>f</t>
  </si>
  <si>
    <t>g</t>
  </si>
  <si>
    <t>h</t>
  </si>
  <si>
    <t>i</t>
  </si>
  <si>
    <t>j</t>
  </si>
  <si>
    <t>k</t>
  </si>
  <si>
    <t>L</t>
  </si>
  <si>
    <t>m</t>
  </si>
  <si>
    <t>n</t>
  </si>
  <si>
    <t>o</t>
  </si>
  <si>
    <t>p</t>
  </si>
  <si>
    <t>Q</t>
  </si>
  <si>
    <t>R</t>
  </si>
  <si>
    <t>S</t>
  </si>
  <si>
    <t>t</t>
  </si>
  <si>
    <t>u</t>
  </si>
  <si>
    <t>v</t>
  </si>
  <si>
    <t>w</t>
  </si>
  <si>
    <t>x</t>
  </si>
  <si>
    <t xml:space="preserve"> </t>
  </si>
  <si>
    <t>z</t>
  </si>
  <si>
    <t>AA</t>
  </si>
  <si>
    <t>AB</t>
  </si>
  <si>
    <t>AC</t>
  </si>
  <si>
    <t>AD</t>
  </si>
  <si>
    <t>AE</t>
  </si>
  <si>
    <t>AF</t>
  </si>
  <si>
    <t>Volcan (non-francais)</t>
  </si>
  <si>
    <t>Crues</t>
  </si>
  <si>
    <t>(dd/mm)</t>
  </si>
  <si>
    <t>Vagues</t>
  </si>
  <si>
    <t>Land slides / rock falls</t>
  </si>
  <si>
    <t>The "mysterious skeletons"</t>
  </si>
  <si>
    <t>Waves</t>
  </si>
  <si>
    <t>Flash floods</t>
  </si>
  <si>
    <t>Volcano (non-French)</t>
  </si>
  <si>
    <t>Vagues / Houle</t>
  </si>
  <si>
    <t>Waves / Swell</t>
  </si>
  <si>
    <t>1 April 2007</t>
  </si>
  <si>
    <t>2 April 2007</t>
  </si>
  <si>
    <t>3 April 2007</t>
  </si>
  <si>
    <t>4 April 2007</t>
  </si>
  <si>
    <t>5 April 2007</t>
  </si>
  <si>
    <t>6 April 2007</t>
  </si>
  <si>
    <t>7 April 2007</t>
  </si>
  <si>
    <t>8 April 2007</t>
  </si>
  <si>
    <t>9 April 2007</t>
  </si>
  <si>
    <t>10 April 2007</t>
  </si>
  <si>
    <t>11 April 2007</t>
  </si>
  <si>
    <t>12 April 2007</t>
  </si>
  <si>
    <t>13 April 2007</t>
  </si>
  <si>
    <t>14 April 2007</t>
  </si>
  <si>
    <t>15 April 2007</t>
  </si>
  <si>
    <t>16 April 2007</t>
  </si>
  <si>
    <t>17 April 2007</t>
  </si>
  <si>
    <t>18 April 2007</t>
  </si>
  <si>
    <t>19 April 2007</t>
  </si>
  <si>
    <t>20 April 2007</t>
  </si>
  <si>
    <t>21 April 2007</t>
  </si>
  <si>
    <t>22 April 2007</t>
  </si>
  <si>
    <t>23 April 2007</t>
  </si>
  <si>
    <t>24 April 2007</t>
  </si>
  <si>
    <t>25 April 2007</t>
  </si>
  <si>
    <t>26 April 2007</t>
  </si>
  <si>
    <t>27 April 2007</t>
  </si>
  <si>
    <t>28 April 2007</t>
  </si>
  <si>
    <t>29 April 2007</t>
  </si>
  <si>
    <t>30 April 2007</t>
  </si>
  <si>
    <t>AG</t>
  </si>
  <si>
    <t>AH</t>
  </si>
  <si>
    <t>AI</t>
  </si>
  <si>
    <t>AJ</t>
  </si>
  <si>
    <t>AK</t>
  </si>
  <si>
    <t>AL</t>
  </si>
  <si>
    <t>AM</t>
  </si>
  <si>
    <t>AN</t>
  </si>
  <si>
    <t>AO</t>
  </si>
  <si>
    <t>AP</t>
  </si>
  <si>
    <t>AQ</t>
  </si>
  <si>
    <t>AR</t>
  </si>
  <si>
    <t>AS</t>
  </si>
  <si>
    <t>AT</t>
  </si>
  <si>
    <t>AU</t>
  </si>
  <si>
    <t>AV</t>
  </si>
  <si>
    <t>AW</t>
  </si>
  <si>
    <t>1 May 2007</t>
  </si>
  <si>
    <t>2 May 2007</t>
  </si>
  <si>
    <t>3 May 2007</t>
  </si>
  <si>
    <t>4 May 2007</t>
  </si>
  <si>
    <t>5 May 2007</t>
  </si>
  <si>
    <t>6 May 2007</t>
  </si>
  <si>
    <t>7 May 2007</t>
  </si>
  <si>
    <t>8 May 2007</t>
  </si>
  <si>
    <t>9 May 2007</t>
  </si>
  <si>
    <t>10 May 2007</t>
  </si>
  <si>
    <t>11 May 2007</t>
  </si>
  <si>
    <t>12 May 2007</t>
  </si>
  <si>
    <t>13 May 2007</t>
  </si>
  <si>
    <t>14 May 2007</t>
  </si>
  <si>
    <t>15 May 2007</t>
  </si>
  <si>
    <t>16 May 2007</t>
  </si>
  <si>
    <t>17 May 2007</t>
  </si>
  <si>
    <t>18 May 2007</t>
  </si>
  <si>
    <t>19 May 2007</t>
  </si>
  <si>
    <t>20 May 2007</t>
  </si>
  <si>
    <t>21 May 2007</t>
  </si>
  <si>
    <t>22 May 2007</t>
  </si>
  <si>
    <t>23 May 2007</t>
  </si>
  <si>
    <t>24 May 2007</t>
  </si>
  <si>
    <t>25 May 2007</t>
  </si>
  <si>
    <t>26 May 2007</t>
  </si>
  <si>
    <t>27 May 2007</t>
  </si>
  <si>
    <t>28 May 2007</t>
  </si>
  <si>
    <t>29 May 2007</t>
  </si>
  <si>
    <t>30 May 2007</t>
  </si>
  <si>
    <t>31 May 2007</t>
  </si>
  <si>
    <t>AX</t>
  </si>
  <si>
    <t>AZ</t>
  </si>
  <si>
    <t>BA</t>
  </si>
  <si>
    <t>BB</t>
  </si>
  <si>
    <t>BA-2</t>
  </si>
  <si>
    <t>BB-2</t>
  </si>
  <si>
    <t>BC</t>
  </si>
  <si>
    <t>BD</t>
  </si>
  <si>
    <t>BE</t>
  </si>
  <si>
    <t>BF</t>
  </si>
  <si>
    <t>BG</t>
  </si>
  <si>
    <t>BH</t>
  </si>
  <si>
    <t>BI</t>
  </si>
  <si>
    <t>BJ</t>
  </si>
  <si>
    <t>BK</t>
  </si>
  <si>
    <t>BL</t>
  </si>
  <si>
    <t>BM</t>
  </si>
  <si>
    <t>BN</t>
  </si>
  <si>
    <t>BO</t>
  </si>
  <si>
    <t>BP</t>
  </si>
  <si>
    <t>BQ</t>
  </si>
  <si>
    <t>BR</t>
  </si>
  <si>
    <t>Hazard</t>
  </si>
  <si>
    <t>Paper Area</t>
  </si>
  <si>
    <t>Cyclone (+ Flash Floods)</t>
  </si>
  <si>
    <t>Volcano</t>
  </si>
  <si>
    <t>Total</t>
  </si>
  <si>
    <t>No papers</t>
  </si>
  <si>
    <t>Typical Page Size</t>
  </si>
  <si>
    <t>cm²</t>
  </si>
  <si>
    <t>Total Paper Area</t>
  </si>
  <si>
    <t>Percent (by Hazard total)</t>
  </si>
  <si>
    <t>Percent (by analysis area)</t>
  </si>
  <si>
    <t>Landslides + Rock Falls</t>
  </si>
  <si>
    <t>m²</t>
  </si>
  <si>
    <t>m²/day</t>
  </si>
  <si>
    <t>Typical Issue Length</t>
  </si>
  <si>
    <t>--</t>
  </si>
  <si>
    <t>No. Page 1's</t>
  </si>
  <si>
    <t>Mag/Page No.</t>
  </si>
  <si>
    <t>Codes refer to article entry in coding book where the title, page number and areaa of each article are recorded, as well as the type of hazard to which each article refers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</si>
</sst>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0.0"/>
  </numFmts>
  <fonts count="3" x14ac:knownFonts="1">
    <font>
      <sz val="11"/>
      <color theme="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xf>
    <xf numFmtId="164" fontId="0" fillId="0" borderId="0" xfId="0" applyNumberFormat="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1" fontId="0" fillId="0" borderId="0" xfId="0" applyNumberFormat="1"/>
    <xf numFmtId="0" fontId="0" fillId="0" borderId="1" xfId="0" applyBorder="1"/>
    <xf numFmtId="1" fontId="0" fillId="0" borderId="1" xfId="0" applyNumberFormat="1" applyBorder="1"/>
    <xf numFmtId="1" fontId="0" fillId="0" borderId="0" xfId="0" applyNumberFormat="1" applyAlignment="1"/>
    <xf numFmtId="165" fontId="0" fillId="0" borderId="0" xfId="0" applyNumberFormat="1"/>
    <xf numFmtId="165" fontId="0" fillId="0" borderId="1" xfId="0" applyNumberFormat="1" applyBorder="1"/>
    <xf numFmtId="0" fontId="0" fillId="0" borderId="3" xfId="0" applyBorder="1"/>
    <xf numFmtId="0" fontId="0" fillId="0" borderId="5" xfId="0" applyBorder="1"/>
    <xf numFmtId="2" fontId="0" fillId="0" borderId="2" xfId="0" applyNumberFormat="1" applyBorder="1"/>
    <xf numFmtId="2" fontId="0" fillId="0" borderId="4" xfId="0" applyNumberFormat="1" applyBorder="1"/>
    <xf numFmtId="0" fontId="0" fillId="0" borderId="0" xfId="0" quotePrefix="1" applyAlignment="1">
      <alignment horizontal="center"/>
    </xf>
    <xf numFmtId="0" fontId="0" fillId="0" borderId="0" xfId="0" applyAlignment="1">
      <alignment horizontal="center"/>
    </xf>
    <xf numFmtId="1" fontId="0" fillId="0" borderId="0" xfId="0" applyNumberFormat="1" applyAlignment="1">
      <alignment horizontal="center"/>
    </xf>
    <xf numFmtId="0" fontId="0" fillId="0" borderId="6" xfId="0" applyBorder="1"/>
    <xf numFmtId="0" fontId="0" fillId="0" borderId="7" xfId="0" applyBorder="1"/>
    <xf numFmtId="16" fontId="0" fillId="0" borderId="7" xfId="0" applyNumberFormat="1" applyBorder="1"/>
    <xf numFmtId="2" fontId="0" fillId="0" borderId="6" xfId="0" applyNumberFormat="1" applyBorder="1"/>
    <xf numFmtId="0" fontId="0" fillId="0" borderId="8" xfId="0" applyFill="1" applyBorder="1"/>
    <xf numFmtId="0" fontId="0" fillId="0" borderId="0" xfId="0" applyAlignment="1">
      <alignment horizontal="center"/>
    </xf>
    <xf numFmtId="0" fontId="1" fillId="2" borderId="0" xfId="0" applyFont="1" applyFill="1" applyAlignment="1">
      <alignment horizontal="center"/>
    </xf>
    <xf numFmtId="0" fontId="0" fillId="2" borderId="0" xfId="0" applyFont="1" applyFill="1" applyAlignment="1">
      <alignment horizontal="center"/>
    </xf>
    <xf numFmtId="0" fontId="2" fillId="2" borderId="0" xfId="0" applyFont="1" applyFill="1" applyAlignment="1"/>
    <xf numFmtId="0" fontId="0" fillId="2" borderId="0" xfId="0" applyFill="1" applyAlignmen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opLeftCell="A10" zoomScale="80" zoomScaleNormal="80" workbookViewId="0">
      <selection activeCell="A37" sqref="A37"/>
    </sheetView>
  </sheetViews>
  <sheetFormatPr baseColWidth="10" defaultColWidth="15.7109375" defaultRowHeight="15" x14ac:dyDescent="0.25"/>
  <cols>
    <col min="1" max="1" width="13.85546875" customWidth="1"/>
    <col min="2" max="2" width="13.85546875" style="2" customWidth="1"/>
    <col min="3" max="3" width="6.7109375" style="1" customWidth="1"/>
    <col min="11" max="11" width="3.140625" customWidth="1"/>
    <col min="12" max="18" width="15.7109375" style="1"/>
  </cols>
  <sheetData>
    <row r="1" spans="1:20" ht="18.75" x14ac:dyDescent="0.3">
      <c r="A1" s="25" t="s">
        <v>34</v>
      </c>
      <c r="B1" s="25"/>
      <c r="C1" s="25"/>
      <c r="D1" s="26"/>
      <c r="E1" s="26"/>
      <c r="F1" s="26"/>
      <c r="G1" s="26"/>
      <c r="H1" s="26"/>
      <c r="I1" s="26"/>
      <c r="J1" s="26"/>
      <c r="K1" s="26"/>
      <c r="L1" s="26"/>
      <c r="M1" s="26"/>
      <c r="N1" s="26"/>
      <c r="O1" s="26"/>
      <c r="P1" s="26"/>
      <c r="Q1" s="26"/>
      <c r="R1" s="26"/>
    </row>
    <row r="3" spans="1:20" x14ac:dyDescent="0.25">
      <c r="A3" t="s">
        <v>0</v>
      </c>
      <c r="B3" s="2" t="s">
        <v>74</v>
      </c>
      <c r="C3" s="1" t="s">
        <v>38</v>
      </c>
      <c r="D3" s="24" t="s">
        <v>36</v>
      </c>
      <c r="E3" s="24"/>
      <c r="F3" s="24"/>
      <c r="G3" s="24"/>
      <c r="H3" s="24"/>
      <c r="I3" s="24"/>
      <c r="J3" s="24"/>
      <c r="L3" s="24" t="s">
        <v>37</v>
      </c>
      <c r="M3" s="24"/>
      <c r="N3" s="24"/>
      <c r="O3" s="24"/>
      <c r="P3" s="24"/>
      <c r="Q3" s="24"/>
      <c r="R3" s="24"/>
    </row>
    <row r="4" spans="1:20" s="3" customFormat="1" ht="54.75" customHeight="1" x14ac:dyDescent="0.25">
      <c r="B4" s="4"/>
      <c r="D4" s="3" t="s">
        <v>1</v>
      </c>
      <c r="E4" s="3" t="s">
        <v>42</v>
      </c>
      <c r="F4" s="3" t="s">
        <v>2</v>
      </c>
      <c r="G4" s="3" t="s">
        <v>81</v>
      </c>
      <c r="H4" s="3" t="s">
        <v>73</v>
      </c>
      <c r="I4" s="3" t="s">
        <v>72</v>
      </c>
      <c r="J4" s="3" t="s">
        <v>35</v>
      </c>
      <c r="L4" s="3" t="s">
        <v>1</v>
      </c>
      <c r="M4" s="3" t="s">
        <v>42</v>
      </c>
      <c r="N4" s="3" t="s">
        <v>2</v>
      </c>
      <c r="O4" s="3" t="s">
        <v>75</v>
      </c>
      <c r="P4" s="3" t="s">
        <v>73</v>
      </c>
      <c r="Q4" s="3" t="s">
        <v>72</v>
      </c>
      <c r="R4" s="3" t="s">
        <v>35</v>
      </c>
      <c r="T4" s="3" t="s">
        <v>199</v>
      </c>
    </row>
    <row r="5" spans="1:20" x14ac:dyDescent="0.25">
      <c r="A5" t="s">
        <v>3</v>
      </c>
      <c r="B5" s="2">
        <v>39142</v>
      </c>
      <c r="C5" s="1" t="s">
        <v>39</v>
      </c>
      <c r="D5">
        <f>313+679+265+(924*23)+924+46+186+619</f>
        <v>24284</v>
      </c>
      <c r="I5">
        <v>129</v>
      </c>
      <c r="L5" s="1">
        <v>1</v>
      </c>
      <c r="Q5" s="1">
        <v>49</v>
      </c>
      <c r="T5">
        <f>COUNTIF(L5:R35,1)</f>
        <v>8</v>
      </c>
    </row>
    <row r="6" spans="1:20" x14ac:dyDescent="0.25">
      <c r="A6" t="s">
        <v>4</v>
      </c>
      <c r="B6" s="2">
        <v>39143</v>
      </c>
      <c r="C6" s="1" t="s">
        <v>40</v>
      </c>
      <c r="D6">
        <f>308+309+798+160+326+861+903+(924*8)+605+127+64+435+68+180+779</f>
        <v>13315</v>
      </c>
      <c r="L6" s="1">
        <v>1</v>
      </c>
    </row>
    <row r="7" spans="1:20" x14ac:dyDescent="0.25">
      <c r="A7" t="s">
        <v>5</v>
      </c>
      <c r="B7" s="2">
        <v>39144</v>
      </c>
      <c r="C7" s="1" t="s">
        <v>41</v>
      </c>
      <c r="D7">
        <f>131+(924*5)+677+442+416+420+943+298+106+620+16+425</f>
        <v>9114</v>
      </c>
      <c r="E7">
        <v>605</v>
      </c>
      <c r="L7" s="1">
        <v>1</v>
      </c>
      <c r="M7" s="1">
        <v>1</v>
      </c>
    </row>
    <row r="8" spans="1:20" x14ac:dyDescent="0.25">
      <c r="A8" t="s">
        <v>6</v>
      </c>
      <c r="B8" s="2">
        <v>39145</v>
      </c>
      <c r="C8" s="1" t="s">
        <v>43</v>
      </c>
      <c r="D8">
        <f>178+(924*2)+99+34+225+67+202</f>
        <v>2653</v>
      </c>
      <c r="E8">
        <f>178+(2*924)</f>
        <v>2026</v>
      </c>
      <c r="L8" s="1">
        <v>8</v>
      </c>
      <c r="M8" s="1">
        <v>1</v>
      </c>
    </row>
    <row r="9" spans="1:20" x14ac:dyDescent="0.25">
      <c r="A9" t="s">
        <v>7</v>
      </c>
      <c r="B9" s="2">
        <v>39146</v>
      </c>
      <c r="C9" s="1" t="s">
        <v>44</v>
      </c>
      <c r="D9">
        <f>325+757+300+205+130+209+581+11</f>
        <v>2518</v>
      </c>
      <c r="L9" s="1">
        <v>2</v>
      </c>
    </row>
    <row r="10" spans="1:20" x14ac:dyDescent="0.25">
      <c r="A10" t="s">
        <v>8</v>
      </c>
      <c r="B10" s="2">
        <v>39147</v>
      </c>
      <c r="C10" s="1" t="s">
        <v>45</v>
      </c>
      <c r="D10">
        <f>173+753+210+63+287+36+115</f>
        <v>1637</v>
      </c>
      <c r="E10">
        <v>623</v>
      </c>
      <c r="J10">
        <v>120</v>
      </c>
      <c r="L10" s="1">
        <v>5</v>
      </c>
      <c r="M10" s="1">
        <v>8</v>
      </c>
      <c r="R10" s="1">
        <v>8</v>
      </c>
    </row>
    <row r="11" spans="1:20" x14ac:dyDescent="0.25">
      <c r="A11" t="s">
        <v>9</v>
      </c>
      <c r="B11" s="2">
        <v>39148</v>
      </c>
      <c r="C11" s="1" t="s">
        <v>46</v>
      </c>
      <c r="D11">
        <f>60+5+32+585+149+404+488+972+972+186+58+76</f>
        <v>3987</v>
      </c>
      <c r="E11">
        <v>582</v>
      </c>
      <c r="J11">
        <f>85+345</f>
        <v>430</v>
      </c>
      <c r="L11" s="1">
        <v>10</v>
      </c>
      <c r="M11" s="1">
        <v>14</v>
      </c>
      <c r="R11" s="1">
        <v>9</v>
      </c>
    </row>
    <row r="12" spans="1:20" x14ac:dyDescent="0.25">
      <c r="A12" t="s">
        <v>10</v>
      </c>
      <c r="B12" s="2">
        <v>39149</v>
      </c>
      <c r="C12" s="1" t="s">
        <v>47</v>
      </c>
      <c r="D12">
        <f>171+100+586+559+583+268+78+249+194+220</f>
        <v>3008</v>
      </c>
      <c r="L12" s="1">
        <v>10</v>
      </c>
    </row>
    <row r="13" spans="1:20" x14ac:dyDescent="0.25">
      <c r="A13" t="s">
        <v>11</v>
      </c>
      <c r="B13" s="2">
        <v>39150</v>
      </c>
      <c r="C13" s="1" t="s">
        <v>48</v>
      </c>
      <c r="D13">
        <f>58+398+76</f>
        <v>532</v>
      </c>
      <c r="E13">
        <v>105</v>
      </c>
      <c r="F13">
        <f>39+(924*2)+217</f>
        <v>2104</v>
      </c>
      <c r="L13" s="1">
        <v>10</v>
      </c>
      <c r="M13" s="1">
        <v>24</v>
      </c>
      <c r="N13" s="1">
        <v>11</v>
      </c>
    </row>
    <row r="14" spans="1:20" x14ac:dyDescent="0.25">
      <c r="A14" t="s">
        <v>12</v>
      </c>
      <c r="B14" s="2">
        <v>39151</v>
      </c>
      <c r="C14" s="1" t="s">
        <v>49</v>
      </c>
      <c r="D14">
        <f>55+918+948+924+133+716+490</f>
        <v>4184</v>
      </c>
      <c r="L14" s="1">
        <v>9</v>
      </c>
    </row>
    <row r="15" spans="1:20" x14ac:dyDescent="0.25">
      <c r="A15" t="s">
        <v>13</v>
      </c>
      <c r="B15" s="2">
        <v>39152</v>
      </c>
      <c r="C15" s="1" t="s">
        <v>50</v>
      </c>
      <c r="D15">
        <f>59+766+212+215+87+711+(924*2)</f>
        <v>3898</v>
      </c>
      <c r="I15">
        <v>32</v>
      </c>
      <c r="L15" s="1">
        <v>5</v>
      </c>
      <c r="Q15" s="1">
        <v>45</v>
      </c>
    </row>
    <row r="16" spans="1:20" x14ac:dyDescent="0.25">
      <c r="A16" t="s">
        <v>14</v>
      </c>
      <c r="B16" s="2">
        <v>39153</v>
      </c>
      <c r="C16" s="1" t="s">
        <v>51</v>
      </c>
      <c r="D16">
        <v>305</v>
      </c>
      <c r="I16">
        <f>45+778+22</f>
        <v>845</v>
      </c>
      <c r="L16" s="1">
        <v>4</v>
      </c>
    </row>
    <row r="17" spans="1:18" x14ac:dyDescent="0.25">
      <c r="A17" t="s">
        <v>15</v>
      </c>
      <c r="B17" s="2">
        <v>39154</v>
      </c>
      <c r="C17" s="1" t="s">
        <v>52</v>
      </c>
      <c r="D17">
        <f>927+36+88+406+141</f>
        <v>1598</v>
      </c>
      <c r="E17">
        <v>433</v>
      </c>
      <c r="L17" s="1">
        <v>17</v>
      </c>
      <c r="M17" s="1">
        <v>13</v>
      </c>
    </row>
    <row r="18" spans="1:18" x14ac:dyDescent="0.25">
      <c r="A18" t="s">
        <v>16</v>
      </c>
      <c r="B18" s="2">
        <v>39155</v>
      </c>
      <c r="C18" s="1" t="s">
        <v>53</v>
      </c>
      <c r="D18">
        <f>174+147+152+170</f>
        <v>643</v>
      </c>
      <c r="E18">
        <v>51</v>
      </c>
      <c r="L18" s="1">
        <v>8</v>
      </c>
      <c r="M18" s="1">
        <v>1</v>
      </c>
    </row>
    <row r="19" spans="1:18" x14ac:dyDescent="0.25">
      <c r="A19" t="s">
        <v>17</v>
      </c>
      <c r="B19" s="2">
        <v>39156</v>
      </c>
      <c r="C19" s="1" t="s">
        <v>54</v>
      </c>
      <c r="D19">
        <f>179+50</f>
        <v>229</v>
      </c>
      <c r="E19">
        <v>578</v>
      </c>
      <c r="L19" s="1">
        <v>6</v>
      </c>
      <c r="M19" s="1">
        <v>19</v>
      </c>
    </row>
    <row r="20" spans="1:18" x14ac:dyDescent="0.25">
      <c r="A20" t="s">
        <v>18</v>
      </c>
      <c r="B20" s="2">
        <v>39157</v>
      </c>
      <c r="C20" s="1" t="s">
        <v>55</v>
      </c>
      <c r="D20">
        <f>924+637</f>
        <v>1561</v>
      </c>
      <c r="L20" s="1">
        <v>8</v>
      </c>
    </row>
    <row r="21" spans="1:18" x14ac:dyDescent="0.25">
      <c r="A21" t="s">
        <v>19</v>
      </c>
      <c r="B21" s="2">
        <v>39158</v>
      </c>
      <c r="C21" s="1" t="s">
        <v>56</v>
      </c>
      <c r="D21">
        <f>460+42+27+155</f>
        <v>684</v>
      </c>
      <c r="E21">
        <v>245</v>
      </c>
      <c r="L21" s="1">
        <v>6</v>
      </c>
      <c r="M21" s="1">
        <v>60</v>
      </c>
    </row>
    <row r="22" spans="1:18" x14ac:dyDescent="0.25">
      <c r="A22" t="s">
        <v>20</v>
      </c>
      <c r="B22" s="2">
        <v>39159</v>
      </c>
      <c r="C22" s="1" t="s">
        <v>57</v>
      </c>
      <c r="D22">
        <f>592+565</f>
        <v>1157</v>
      </c>
      <c r="L22" s="1">
        <v>8</v>
      </c>
    </row>
    <row r="23" spans="1:18" x14ac:dyDescent="0.25">
      <c r="A23" t="s">
        <v>21</v>
      </c>
      <c r="B23" s="2">
        <v>39160</v>
      </c>
      <c r="C23" s="1" t="s">
        <v>58</v>
      </c>
      <c r="D23">
        <f>418+339+158</f>
        <v>915</v>
      </c>
      <c r="L23" s="1">
        <v>4</v>
      </c>
    </row>
    <row r="24" spans="1:18" x14ac:dyDescent="0.25">
      <c r="A24" t="s">
        <v>22</v>
      </c>
      <c r="B24" s="2">
        <v>39161</v>
      </c>
      <c r="C24" s="1" t="s">
        <v>59</v>
      </c>
      <c r="D24">
        <f>56+166+324</f>
        <v>546</v>
      </c>
      <c r="L24" s="1">
        <v>22</v>
      </c>
    </row>
    <row r="25" spans="1:18" x14ac:dyDescent="0.25">
      <c r="A25" t="s">
        <v>23</v>
      </c>
      <c r="B25" s="2">
        <v>39162</v>
      </c>
      <c r="C25" s="1" t="s">
        <v>60</v>
      </c>
      <c r="D25">
        <f>328+583+290</f>
        <v>1201</v>
      </c>
      <c r="L25" s="1">
        <v>7</v>
      </c>
    </row>
    <row r="26" spans="1:18" x14ac:dyDescent="0.25">
      <c r="A26" t="s">
        <v>24</v>
      </c>
      <c r="B26" s="2">
        <v>39163</v>
      </c>
      <c r="C26" s="1" t="s">
        <v>61</v>
      </c>
      <c r="D26">
        <f>153+599</f>
        <v>752</v>
      </c>
      <c r="H26">
        <v>764</v>
      </c>
      <c r="L26" s="1">
        <v>21</v>
      </c>
      <c r="P26" s="1">
        <v>19</v>
      </c>
    </row>
    <row r="27" spans="1:18" x14ac:dyDescent="0.25">
      <c r="A27" t="s">
        <v>25</v>
      </c>
      <c r="B27" s="2">
        <v>39164</v>
      </c>
      <c r="C27" s="1" t="s">
        <v>62</v>
      </c>
      <c r="D27">
        <f>73</f>
        <v>73</v>
      </c>
      <c r="F27">
        <f>2*964</f>
        <v>1928</v>
      </c>
      <c r="L27" s="1">
        <v>6</v>
      </c>
      <c r="N27" s="1">
        <v>14</v>
      </c>
    </row>
    <row r="28" spans="1:18" x14ac:dyDescent="0.25">
      <c r="A28" t="s">
        <v>26</v>
      </c>
      <c r="B28" s="2">
        <v>39165</v>
      </c>
      <c r="C28" s="1" t="s">
        <v>63</v>
      </c>
      <c r="D28">
        <f>304+152+120</f>
        <v>576</v>
      </c>
      <c r="H28" t="s">
        <v>64</v>
      </c>
      <c r="I28">
        <v>25</v>
      </c>
      <c r="J28">
        <v>43</v>
      </c>
      <c r="L28" s="1">
        <v>21</v>
      </c>
      <c r="Q28" s="1">
        <v>47</v>
      </c>
      <c r="R28" s="1">
        <v>6</v>
      </c>
    </row>
    <row r="29" spans="1:18" x14ac:dyDescent="0.25">
      <c r="A29" t="s">
        <v>27</v>
      </c>
      <c r="B29" s="2">
        <v>39166</v>
      </c>
      <c r="C29" s="1" t="s">
        <v>65</v>
      </c>
      <c r="D29" t="s">
        <v>64</v>
      </c>
      <c r="E29">
        <v>913</v>
      </c>
      <c r="M29" s="1">
        <v>12</v>
      </c>
    </row>
    <row r="30" spans="1:18" x14ac:dyDescent="0.25">
      <c r="A30" t="s">
        <v>28</v>
      </c>
      <c r="B30" s="2">
        <v>39167</v>
      </c>
      <c r="C30" s="1" t="s">
        <v>66</v>
      </c>
      <c r="D30">
        <v>930</v>
      </c>
      <c r="L30" s="1">
        <v>14</v>
      </c>
    </row>
    <row r="31" spans="1:18" x14ac:dyDescent="0.25">
      <c r="A31" t="s">
        <v>29</v>
      </c>
      <c r="B31" s="2">
        <v>39168</v>
      </c>
      <c r="C31" s="1" t="s">
        <v>67</v>
      </c>
      <c r="D31">
        <v>56</v>
      </c>
      <c r="I31">
        <v>49</v>
      </c>
      <c r="J31">
        <f>157+143</f>
        <v>300</v>
      </c>
      <c r="L31" s="1">
        <v>26</v>
      </c>
      <c r="Q31" s="1">
        <v>45</v>
      </c>
      <c r="R31" s="1">
        <v>1</v>
      </c>
    </row>
    <row r="32" spans="1:18" x14ac:dyDescent="0.25">
      <c r="A32" t="s">
        <v>30</v>
      </c>
      <c r="B32" s="2">
        <v>39169</v>
      </c>
      <c r="C32" s="1" t="s">
        <v>68</v>
      </c>
      <c r="D32">
        <f>104+268</f>
        <v>372</v>
      </c>
      <c r="J32">
        <v>91</v>
      </c>
      <c r="L32" s="1">
        <v>11</v>
      </c>
      <c r="R32" s="1">
        <v>6</v>
      </c>
    </row>
    <row r="33" spans="1:18" x14ac:dyDescent="0.25">
      <c r="A33" t="s">
        <v>31</v>
      </c>
      <c r="B33" s="2">
        <v>39170</v>
      </c>
      <c r="C33" s="1" t="s">
        <v>69</v>
      </c>
      <c r="D33">
        <v>280</v>
      </c>
      <c r="J33">
        <f>299+583</f>
        <v>882</v>
      </c>
      <c r="L33" s="1">
        <v>9</v>
      </c>
      <c r="R33" s="1">
        <v>6</v>
      </c>
    </row>
    <row r="34" spans="1:18" x14ac:dyDescent="0.25">
      <c r="A34" t="s">
        <v>32</v>
      </c>
      <c r="B34" s="2">
        <v>39171</v>
      </c>
      <c r="C34" s="1" t="s">
        <v>70</v>
      </c>
      <c r="D34">
        <f>230+31</f>
        <v>261</v>
      </c>
      <c r="I34">
        <v>59</v>
      </c>
      <c r="J34">
        <v>63</v>
      </c>
      <c r="L34" s="1">
        <v>9</v>
      </c>
      <c r="Q34" s="1">
        <v>45</v>
      </c>
      <c r="R34" s="1">
        <v>9</v>
      </c>
    </row>
    <row r="35" spans="1:18" x14ac:dyDescent="0.25">
      <c r="A35" t="s">
        <v>33</v>
      </c>
      <c r="B35" s="2">
        <v>39172</v>
      </c>
      <c r="C35" s="1" t="s">
        <v>71</v>
      </c>
      <c r="D35">
        <f>224+278+42</f>
        <v>544</v>
      </c>
      <c r="G35" t="s">
        <v>64</v>
      </c>
      <c r="J35">
        <f>291+64</f>
        <v>355</v>
      </c>
      <c r="L35" s="1">
        <v>9</v>
      </c>
      <c r="R35" s="1">
        <v>1</v>
      </c>
    </row>
    <row r="37" spans="1:18" x14ac:dyDescent="0.25">
      <c r="A37" t="s">
        <v>201</v>
      </c>
    </row>
    <row r="39" spans="1:18" x14ac:dyDescent="0.25">
      <c r="D39" t="s">
        <v>64</v>
      </c>
      <c r="G39" t="s">
        <v>64</v>
      </c>
      <c r="J39" t="s">
        <v>64</v>
      </c>
    </row>
  </sheetData>
  <mergeCells count="3">
    <mergeCell ref="D3:J3"/>
    <mergeCell ref="L3:R3"/>
    <mergeCell ref="A1:R1"/>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opLeftCell="A10" zoomScale="70" zoomScaleNormal="70" workbookViewId="0">
      <selection activeCell="A36" sqref="A36"/>
    </sheetView>
  </sheetViews>
  <sheetFormatPr baseColWidth="10" defaultColWidth="15.7109375" defaultRowHeight="15" x14ac:dyDescent="0.25"/>
  <cols>
    <col min="1" max="1" width="13.85546875" customWidth="1"/>
    <col min="2" max="2" width="13.85546875" style="2" customWidth="1"/>
    <col min="3" max="3" width="6.7109375" style="5" customWidth="1"/>
    <col min="12" max="12" width="3.140625" customWidth="1"/>
    <col min="13" max="19" width="15.7109375" style="5"/>
    <col min="20" max="20" width="4.7109375" customWidth="1"/>
  </cols>
  <sheetData>
    <row r="1" spans="1:30" ht="18.75" x14ac:dyDescent="0.3">
      <c r="A1" s="25" t="s">
        <v>34</v>
      </c>
      <c r="B1" s="25"/>
      <c r="C1" s="25"/>
      <c r="D1" s="26"/>
      <c r="E1" s="26"/>
      <c r="F1" s="26"/>
      <c r="G1" s="26"/>
      <c r="H1" s="26"/>
      <c r="I1" s="26"/>
      <c r="J1" s="26"/>
      <c r="K1" s="26"/>
      <c r="L1" s="26"/>
      <c r="M1" s="26"/>
      <c r="N1" s="26"/>
      <c r="O1" s="26"/>
      <c r="P1" s="26"/>
      <c r="Q1" s="26"/>
      <c r="R1" s="26"/>
      <c r="S1" s="26"/>
    </row>
    <row r="3" spans="1:30" x14ac:dyDescent="0.25">
      <c r="A3" t="s">
        <v>0</v>
      </c>
      <c r="B3" s="2" t="s">
        <v>74</v>
      </c>
      <c r="C3" s="5" t="s">
        <v>38</v>
      </c>
      <c r="D3" s="24" t="s">
        <v>36</v>
      </c>
      <c r="E3" s="24"/>
      <c r="F3" s="24"/>
      <c r="G3" s="24"/>
      <c r="H3" s="24"/>
      <c r="I3" s="24"/>
      <c r="J3" s="24"/>
      <c r="K3" s="17"/>
      <c r="M3" s="24" t="s">
        <v>37</v>
      </c>
      <c r="N3" s="24"/>
      <c r="O3" s="24"/>
      <c r="P3" s="24"/>
      <c r="Q3" s="24"/>
      <c r="R3" s="24"/>
      <c r="S3" s="24"/>
    </row>
    <row r="4" spans="1:30" s="3" customFormat="1" ht="54.75" customHeight="1" x14ac:dyDescent="0.25">
      <c r="B4" s="4"/>
      <c r="D4" s="3" t="s">
        <v>1</v>
      </c>
      <c r="E4" s="3" t="s">
        <v>42</v>
      </c>
      <c r="F4" s="3" t="s">
        <v>2</v>
      </c>
      <c r="G4" s="3" t="s">
        <v>81</v>
      </c>
      <c r="H4" s="3" t="s">
        <v>73</v>
      </c>
      <c r="I4" s="3" t="s">
        <v>72</v>
      </c>
      <c r="J4" s="3" t="s">
        <v>35</v>
      </c>
      <c r="M4" s="3" t="s">
        <v>1</v>
      </c>
      <c r="N4" s="3" t="s">
        <v>42</v>
      </c>
      <c r="O4" s="3" t="s">
        <v>2</v>
      </c>
      <c r="P4" s="3" t="s">
        <v>75</v>
      </c>
      <c r="Q4" s="3" t="s">
        <v>73</v>
      </c>
      <c r="R4" s="3" t="s">
        <v>72</v>
      </c>
      <c r="S4" s="3" t="s">
        <v>35</v>
      </c>
      <c r="U4" s="3" t="s">
        <v>199</v>
      </c>
      <c r="V4" s="3" t="s">
        <v>200</v>
      </c>
    </row>
    <row r="5" spans="1:30" x14ac:dyDescent="0.25">
      <c r="A5" t="s">
        <v>83</v>
      </c>
      <c r="B5" s="2">
        <v>39173</v>
      </c>
      <c r="C5" s="5" t="s">
        <v>113</v>
      </c>
      <c r="D5">
        <v>250</v>
      </c>
      <c r="J5">
        <f>153+609+924+911</f>
        <v>2597</v>
      </c>
      <c r="K5" s="18">
        <f>(J5/(D5+(SUM(F5:J5))))*100</f>
        <v>91.21882683526519</v>
      </c>
      <c r="M5" s="5">
        <v>5</v>
      </c>
      <c r="S5" s="5">
        <v>1</v>
      </c>
      <c r="U5">
        <f>COUNTIF(M5:S35,1)</f>
        <v>13</v>
      </c>
      <c r="V5" s="6">
        <f>J5/S5</f>
        <v>2597</v>
      </c>
      <c r="AC5">
        <v>0</v>
      </c>
      <c r="AD5">
        <v>0</v>
      </c>
    </row>
    <row r="6" spans="1:30" x14ac:dyDescent="0.25">
      <c r="A6" t="s">
        <v>84</v>
      </c>
      <c r="B6" s="2">
        <v>39174</v>
      </c>
      <c r="C6" s="5" t="s">
        <v>114</v>
      </c>
      <c r="D6">
        <f>226+36+110</f>
        <v>372</v>
      </c>
      <c r="J6">
        <v>172</v>
      </c>
      <c r="K6" s="18">
        <f t="shared" ref="K6:K34" si="0">(J6/(D6+(SUM(F6:J6))))*100</f>
        <v>31.617647058823529</v>
      </c>
      <c r="M6" s="5">
        <v>5</v>
      </c>
      <c r="S6" s="5">
        <v>8</v>
      </c>
      <c r="V6" s="6">
        <f t="shared" ref="V6:V34" si="1">J6/S6</f>
        <v>21.5</v>
      </c>
      <c r="AA6">
        <v>200</v>
      </c>
      <c r="AC6">
        <f t="shared" ref="AC6:AC8" si="2">AA6*10</f>
        <v>2000</v>
      </c>
      <c r="AD6">
        <v>0</v>
      </c>
    </row>
    <row r="7" spans="1:30" x14ac:dyDescent="0.25">
      <c r="A7" t="s">
        <v>85</v>
      </c>
      <c r="B7" s="2">
        <v>39175</v>
      </c>
      <c r="C7" s="5" t="s">
        <v>115</v>
      </c>
      <c r="D7">
        <f>243+317+367+8</f>
        <v>935</v>
      </c>
      <c r="J7">
        <f>669+797+(4*908)</f>
        <v>5098</v>
      </c>
      <c r="K7" s="18">
        <f t="shared" si="0"/>
        <v>84.501906182662026</v>
      </c>
      <c r="M7" s="5">
        <v>5</v>
      </c>
      <c r="S7" s="5">
        <v>1</v>
      </c>
      <c r="V7" s="6">
        <f t="shared" si="1"/>
        <v>5098</v>
      </c>
      <c r="AA7">
        <v>200</v>
      </c>
      <c r="AC7">
        <f t="shared" si="2"/>
        <v>2000</v>
      </c>
      <c r="AD7">
        <v>2000</v>
      </c>
    </row>
    <row r="8" spans="1:30" x14ac:dyDescent="0.25">
      <c r="A8" t="s">
        <v>86</v>
      </c>
      <c r="B8" s="2">
        <v>39176</v>
      </c>
      <c r="C8" s="5" t="s">
        <v>116</v>
      </c>
      <c r="D8">
        <f>80+347+42</f>
        <v>469</v>
      </c>
      <c r="J8">
        <f>646+224+973+707+237+971+452+202+278+(3*931)</f>
        <v>7483</v>
      </c>
      <c r="K8" s="18">
        <f t="shared" si="0"/>
        <v>94.102112676056336</v>
      </c>
      <c r="M8" s="5">
        <v>5</v>
      </c>
      <c r="S8" s="5">
        <v>1</v>
      </c>
      <c r="V8" s="6">
        <f t="shared" si="1"/>
        <v>7483</v>
      </c>
      <c r="AA8">
        <v>200</v>
      </c>
      <c r="AC8">
        <f t="shared" si="2"/>
        <v>2000</v>
      </c>
      <c r="AD8">
        <v>2000</v>
      </c>
    </row>
    <row r="9" spans="1:30" x14ac:dyDescent="0.25">
      <c r="A9" t="s">
        <v>87</v>
      </c>
      <c r="B9" s="2">
        <v>39177</v>
      </c>
      <c r="C9" s="5" t="s">
        <v>117</v>
      </c>
      <c r="D9">
        <v>527</v>
      </c>
      <c r="J9">
        <f>69+772+233+927+304+582+303+583+583+381+(945*3)</f>
        <v>7572</v>
      </c>
      <c r="K9" s="18">
        <f t="shared" si="0"/>
        <v>93.493023830102487</v>
      </c>
      <c r="M9" s="5">
        <v>5</v>
      </c>
      <c r="S9" s="5">
        <v>1</v>
      </c>
      <c r="V9" s="6">
        <f t="shared" si="1"/>
        <v>7572</v>
      </c>
      <c r="X9" s="21">
        <v>39177</v>
      </c>
      <c r="Y9" s="19">
        <v>3</v>
      </c>
      <c r="Z9" s="20">
        <v>75</v>
      </c>
      <c r="AA9" s="23" t="e">
        <f>(Y9-#REF!)*(Z9+#REF!)/2</f>
        <v>#REF!</v>
      </c>
      <c r="AC9" t="e">
        <f>AA9*10</f>
        <v>#REF!</v>
      </c>
      <c r="AD9">
        <v>2000</v>
      </c>
    </row>
    <row r="10" spans="1:30" x14ac:dyDescent="0.25">
      <c r="A10" t="s">
        <v>88</v>
      </c>
      <c r="B10" s="2">
        <v>39178</v>
      </c>
      <c r="D10" s="6">
        <v>1E-3</v>
      </c>
      <c r="J10">
        <f>478+258+963+950+944+883+532+358</f>
        <v>5366</v>
      </c>
      <c r="K10" s="18">
        <f t="shared" si="0"/>
        <v>99.999981364148084</v>
      </c>
      <c r="S10" s="5">
        <v>1</v>
      </c>
      <c r="V10" s="6">
        <f t="shared" si="1"/>
        <v>5366</v>
      </c>
      <c r="X10" s="21">
        <v>39178</v>
      </c>
      <c r="Y10" s="22">
        <v>4</v>
      </c>
      <c r="Z10" s="20">
        <v>1000</v>
      </c>
      <c r="AA10" s="23">
        <f t="shared" ref="AA10:AA24" si="3">(Y10-Y9)*(Z10+Z9)/2</f>
        <v>537.5</v>
      </c>
      <c r="AC10">
        <f t="shared" ref="AC10:AC24" si="4">AA10*10</f>
        <v>5375</v>
      </c>
      <c r="AD10">
        <v>1125</v>
      </c>
    </row>
    <row r="11" spans="1:30" x14ac:dyDescent="0.25">
      <c r="A11" t="s">
        <v>89</v>
      </c>
      <c r="B11" s="2">
        <v>39179</v>
      </c>
      <c r="C11" s="5" t="s">
        <v>118</v>
      </c>
      <c r="D11">
        <f>142+124</f>
        <v>266</v>
      </c>
      <c r="J11">
        <f>665+829+434+301+921+909+463+955+476</f>
        <v>5953</v>
      </c>
      <c r="K11" s="18">
        <f t="shared" si="0"/>
        <v>95.722785013667789</v>
      </c>
      <c r="M11" s="5">
        <v>24</v>
      </c>
      <c r="S11" s="5">
        <v>1</v>
      </c>
      <c r="V11" s="6">
        <f t="shared" si="1"/>
        <v>5953</v>
      </c>
      <c r="X11" s="21">
        <v>39179</v>
      </c>
      <c r="Y11" s="19">
        <v>5</v>
      </c>
      <c r="Z11" s="20">
        <v>700</v>
      </c>
      <c r="AA11" s="23">
        <f t="shared" si="3"/>
        <v>850</v>
      </c>
      <c r="AC11">
        <f t="shared" si="4"/>
        <v>8500</v>
      </c>
      <c r="AD11">
        <v>5375</v>
      </c>
    </row>
    <row r="12" spans="1:30" x14ac:dyDescent="0.25">
      <c r="A12" t="s">
        <v>90</v>
      </c>
      <c r="B12" s="2">
        <v>39180</v>
      </c>
      <c r="C12" s="5" t="s">
        <v>119</v>
      </c>
      <c r="D12">
        <v>425</v>
      </c>
      <c r="J12">
        <f>130+36+89+910+917+938+917+909+909+909</f>
        <v>6664</v>
      </c>
      <c r="K12" s="18">
        <f t="shared" si="0"/>
        <v>94.004796163069543</v>
      </c>
      <c r="M12" s="5">
        <v>48</v>
      </c>
      <c r="S12" s="5">
        <v>1</v>
      </c>
      <c r="V12" s="6">
        <f t="shared" si="1"/>
        <v>6664</v>
      </c>
      <c r="X12" s="21">
        <v>39180</v>
      </c>
      <c r="Y12" s="22">
        <v>6</v>
      </c>
      <c r="Z12" s="20">
        <v>300</v>
      </c>
      <c r="AA12" s="23">
        <f t="shared" si="3"/>
        <v>500</v>
      </c>
      <c r="AC12">
        <f t="shared" si="4"/>
        <v>5000</v>
      </c>
      <c r="AD12">
        <v>8500</v>
      </c>
    </row>
    <row r="13" spans="1:30" x14ac:dyDescent="0.25">
      <c r="A13" t="s">
        <v>91</v>
      </c>
      <c r="B13" s="2">
        <v>39181</v>
      </c>
      <c r="C13" s="5" t="s">
        <v>120</v>
      </c>
      <c r="D13">
        <v>919</v>
      </c>
      <c r="J13">
        <f>177+619+687+708+944+971+476</f>
        <v>4582</v>
      </c>
      <c r="K13" s="18">
        <f t="shared" si="0"/>
        <v>83.293946555171786</v>
      </c>
      <c r="M13" s="5">
        <v>6</v>
      </c>
      <c r="S13" s="5">
        <v>1</v>
      </c>
      <c r="V13" s="6">
        <f t="shared" si="1"/>
        <v>4582</v>
      </c>
      <c r="X13" s="21">
        <v>39181</v>
      </c>
      <c r="Y13" s="19">
        <v>7</v>
      </c>
      <c r="Z13" s="20">
        <v>100</v>
      </c>
      <c r="AA13" s="23">
        <f t="shared" si="3"/>
        <v>200</v>
      </c>
      <c r="AC13">
        <f t="shared" si="4"/>
        <v>2000</v>
      </c>
      <c r="AD13">
        <v>5000</v>
      </c>
    </row>
    <row r="14" spans="1:30" x14ac:dyDescent="0.25">
      <c r="A14" t="s">
        <v>92</v>
      </c>
      <c r="B14" s="2">
        <v>39182</v>
      </c>
      <c r="C14" s="5" t="s">
        <v>121</v>
      </c>
      <c r="D14">
        <f>155+100</f>
        <v>255</v>
      </c>
      <c r="J14">
        <f>126+583+933+679+265+686+464+464</f>
        <v>4200</v>
      </c>
      <c r="K14" s="18">
        <f t="shared" si="0"/>
        <v>94.276094276094284</v>
      </c>
      <c r="M14" s="5">
        <v>24</v>
      </c>
      <c r="S14" s="5">
        <v>1</v>
      </c>
      <c r="V14" s="6">
        <f t="shared" si="1"/>
        <v>4200</v>
      </c>
      <c r="X14" s="21">
        <v>39182</v>
      </c>
      <c r="Y14" s="22">
        <v>8</v>
      </c>
      <c r="Z14" s="20">
        <v>55</v>
      </c>
      <c r="AA14" s="23">
        <f t="shared" si="3"/>
        <v>77.5</v>
      </c>
      <c r="AC14">
        <f t="shared" si="4"/>
        <v>775</v>
      </c>
      <c r="AD14">
        <v>2000</v>
      </c>
    </row>
    <row r="15" spans="1:30" x14ac:dyDescent="0.25">
      <c r="A15" t="s">
        <v>93</v>
      </c>
      <c r="B15" s="2">
        <v>39183</v>
      </c>
      <c r="D15" s="6">
        <v>1E-3</v>
      </c>
      <c r="J15">
        <f>812+501+981+953+932</f>
        <v>4179</v>
      </c>
      <c r="K15" s="18">
        <f t="shared" si="0"/>
        <v>99.999976070836055</v>
      </c>
      <c r="S15" s="5">
        <v>1</v>
      </c>
      <c r="V15" s="6">
        <f t="shared" si="1"/>
        <v>4179</v>
      </c>
      <c r="X15" s="21">
        <v>39183</v>
      </c>
      <c r="Y15" s="19">
        <v>9</v>
      </c>
      <c r="Z15" s="20">
        <v>30</v>
      </c>
      <c r="AA15" s="23">
        <f t="shared" si="3"/>
        <v>42.5</v>
      </c>
      <c r="AC15">
        <f t="shared" si="4"/>
        <v>425</v>
      </c>
      <c r="AD15">
        <v>775</v>
      </c>
    </row>
    <row r="16" spans="1:30" x14ac:dyDescent="0.25">
      <c r="A16" t="s">
        <v>94</v>
      </c>
      <c r="B16" s="2">
        <v>39184</v>
      </c>
      <c r="D16" s="6">
        <v>1E-3</v>
      </c>
      <c r="I16">
        <f>18+24</f>
        <v>42</v>
      </c>
      <c r="J16">
        <f>325+942+453+763</f>
        <v>2483</v>
      </c>
      <c r="K16" s="18">
        <f t="shared" si="0"/>
        <v>98.336594718180308</v>
      </c>
      <c r="R16" s="5">
        <v>45</v>
      </c>
      <c r="S16" s="5">
        <v>3</v>
      </c>
      <c r="V16" s="6">
        <f t="shared" si="1"/>
        <v>827.66666666666663</v>
      </c>
      <c r="X16" s="21">
        <v>39184</v>
      </c>
      <c r="Y16" s="22">
        <v>10</v>
      </c>
      <c r="Z16" s="20">
        <v>55</v>
      </c>
      <c r="AA16" s="23">
        <f t="shared" si="3"/>
        <v>42.5</v>
      </c>
      <c r="AC16">
        <f t="shared" si="4"/>
        <v>425</v>
      </c>
      <c r="AD16">
        <v>425</v>
      </c>
    </row>
    <row r="17" spans="1:30" x14ac:dyDescent="0.25">
      <c r="A17" t="s">
        <v>95</v>
      </c>
      <c r="B17" s="2">
        <v>39185</v>
      </c>
      <c r="D17" s="6">
        <v>1E-3</v>
      </c>
      <c r="J17">
        <f>642+955+581</f>
        <v>2178</v>
      </c>
      <c r="K17" s="18">
        <f t="shared" si="0"/>
        <v>99.999954086338789</v>
      </c>
      <c r="S17" s="5">
        <v>1</v>
      </c>
      <c r="V17" s="6">
        <f t="shared" si="1"/>
        <v>2178</v>
      </c>
      <c r="X17" s="21">
        <v>39185</v>
      </c>
      <c r="Y17" s="19">
        <v>11</v>
      </c>
      <c r="Z17" s="20">
        <v>55</v>
      </c>
      <c r="AA17" s="23">
        <f t="shared" si="3"/>
        <v>55</v>
      </c>
      <c r="AC17">
        <f t="shared" si="4"/>
        <v>550</v>
      </c>
      <c r="AD17">
        <v>425</v>
      </c>
    </row>
    <row r="18" spans="1:30" x14ac:dyDescent="0.25">
      <c r="A18" t="s">
        <v>96</v>
      </c>
      <c r="B18" s="2">
        <v>39186</v>
      </c>
      <c r="D18" s="6">
        <v>1E-3</v>
      </c>
      <c r="J18">
        <f>575*2</f>
        <v>1150</v>
      </c>
      <c r="K18" s="18">
        <f t="shared" si="0"/>
        <v>99.999913043553875</v>
      </c>
      <c r="S18" s="16" t="s">
        <v>198</v>
      </c>
      <c r="V18" s="6" t="s">
        <v>64</v>
      </c>
      <c r="X18" s="21">
        <v>39186</v>
      </c>
      <c r="Y18" s="22">
        <v>12</v>
      </c>
      <c r="Z18" s="20">
        <v>55</v>
      </c>
      <c r="AA18" s="23">
        <f t="shared" si="3"/>
        <v>55</v>
      </c>
      <c r="AC18">
        <f t="shared" si="4"/>
        <v>550</v>
      </c>
      <c r="AD18">
        <v>550</v>
      </c>
    </row>
    <row r="19" spans="1:30" x14ac:dyDescent="0.25">
      <c r="A19" t="s">
        <v>97</v>
      </c>
      <c r="B19" s="2">
        <v>39187</v>
      </c>
      <c r="D19" s="6">
        <v>1E-3</v>
      </c>
      <c r="J19">
        <f>69+421</f>
        <v>490</v>
      </c>
      <c r="K19" s="18">
        <f t="shared" si="0"/>
        <v>99.999795918783846</v>
      </c>
      <c r="S19" s="5">
        <v>5</v>
      </c>
      <c r="V19" s="6">
        <f t="shared" si="1"/>
        <v>98</v>
      </c>
      <c r="X19" s="21">
        <v>39187</v>
      </c>
      <c r="Y19" s="19">
        <v>13</v>
      </c>
      <c r="Z19" s="20">
        <v>20</v>
      </c>
      <c r="AA19" s="23">
        <f t="shared" si="3"/>
        <v>37.5</v>
      </c>
      <c r="AC19">
        <f t="shared" si="4"/>
        <v>375</v>
      </c>
      <c r="AD19">
        <v>550</v>
      </c>
    </row>
    <row r="20" spans="1:30" x14ac:dyDescent="0.25">
      <c r="A20" t="s">
        <v>98</v>
      </c>
      <c r="B20" s="2">
        <v>39188</v>
      </c>
      <c r="C20" s="5" t="s">
        <v>122</v>
      </c>
      <c r="D20">
        <f>243+266+75</f>
        <v>584</v>
      </c>
      <c r="J20">
        <f>204+952+952</f>
        <v>2108</v>
      </c>
      <c r="K20" s="18">
        <f t="shared" si="0"/>
        <v>78.306092124814271</v>
      </c>
      <c r="M20" s="5">
        <v>3</v>
      </c>
      <c r="S20" s="5">
        <v>6</v>
      </c>
      <c r="V20" s="6">
        <f t="shared" si="1"/>
        <v>351.33333333333331</v>
      </c>
      <c r="X20" s="21">
        <v>39188</v>
      </c>
      <c r="Y20" s="22">
        <v>14</v>
      </c>
      <c r="Z20" s="20">
        <v>15</v>
      </c>
      <c r="AA20" s="23">
        <f t="shared" si="3"/>
        <v>17.5</v>
      </c>
      <c r="AC20">
        <f t="shared" si="4"/>
        <v>175</v>
      </c>
      <c r="AD20">
        <v>375</v>
      </c>
    </row>
    <row r="21" spans="1:30" x14ac:dyDescent="0.25">
      <c r="A21" t="s">
        <v>99</v>
      </c>
      <c r="B21" s="2">
        <v>39189</v>
      </c>
      <c r="C21" s="5" t="s">
        <v>123</v>
      </c>
      <c r="D21">
        <f>125+32</f>
        <v>157</v>
      </c>
      <c r="H21">
        <f>577+262</f>
        <v>839</v>
      </c>
      <c r="J21">
        <f>475+44+19+37</f>
        <v>575</v>
      </c>
      <c r="K21" s="18">
        <f t="shared" si="0"/>
        <v>36.600891152132398</v>
      </c>
      <c r="M21" s="5">
        <v>7</v>
      </c>
      <c r="Q21" s="5">
        <v>21</v>
      </c>
      <c r="S21" s="5">
        <v>4</v>
      </c>
      <c r="V21" s="6">
        <f t="shared" si="1"/>
        <v>143.75</v>
      </c>
      <c r="X21" s="21">
        <v>39189</v>
      </c>
      <c r="Y21" s="19">
        <v>15</v>
      </c>
      <c r="Z21" s="20">
        <v>15</v>
      </c>
      <c r="AA21" s="23">
        <f t="shared" si="3"/>
        <v>15</v>
      </c>
      <c r="AC21">
        <f t="shared" si="4"/>
        <v>150</v>
      </c>
      <c r="AD21">
        <v>175</v>
      </c>
    </row>
    <row r="22" spans="1:30" x14ac:dyDescent="0.25">
      <c r="A22" t="s">
        <v>100</v>
      </c>
      <c r="B22" s="2">
        <v>39190</v>
      </c>
      <c r="C22" s="5" t="s">
        <v>124</v>
      </c>
      <c r="D22">
        <v>37</v>
      </c>
      <c r="J22">
        <f>367+682+249+241+18+17</f>
        <v>1574</v>
      </c>
      <c r="K22" s="18">
        <f t="shared" si="0"/>
        <v>97.70328988206083</v>
      </c>
      <c r="M22" s="5">
        <v>21</v>
      </c>
      <c r="S22" s="5">
        <v>3</v>
      </c>
      <c r="V22" s="6">
        <f t="shared" si="1"/>
        <v>524.66666666666663</v>
      </c>
      <c r="X22" s="21">
        <v>39190</v>
      </c>
      <c r="Y22" s="22">
        <v>16</v>
      </c>
      <c r="Z22" s="20">
        <v>15</v>
      </c>
      <c r="AA22" s="23">
        <f t="shared" si="3"/>
        <v>15</v>
      </c>
      <c r="AC22">
        <f t="shared" si="4"/>
        <v>150</v>
      </c>
      <c r="AD22">
        <v>150</v>
      </c>
    </row>
    <row r="23" spans="1:30" x14ac:dyDescent="0.25">
      <c r="A23" t="s">
        <v>101</v>
      </c>
      <c r="B23" s="2">
        <v>39191</v>
      </c>
      <c r="D23" s="6">
        <v>1E-3</v>
      </c>
      <c r="I23">
        <v>128</v>
      </c>
      <c r="J23">
        <f>98+16</f>
        <v>114</v>
      </c>
      <c r="K23" s="18">
        <f t="shared" si="0"/>
        <v>47.107243358498522</v>
      </c>
      <c r="R23" s="5">
        <v>71</v>
      </c>
      <c r="S23" s="5">
        <v>10</v>
      </c>
      <c r="V23" s="6">
        <f t="shared" si="1"/>
        <v>11.4</v>
      </c>
      <c r="X23" s="21">
        <v>39191</v>
      </c>
      <c r="Y23" s="19">
        <v>17</v>
      </c>
      <c r="Z23" s="20">
        <v>15</v>
      </c>
      <c r="AA23" s="23">
        <f t="shared" si="3"/>
        <v>15</v>
      </c>
      <c r="AC23">
        <f t="shared" si="4"/>
        <v>150</v>
      </c>
      <c r="AD23">
        <v>150</v>
      </c>
    </row>
    <row r="24" spans="1:30" x14ac:dyDescent="0.25">
      <c r="A24" t="s">
        <v>102</v>
      </c>
      <c r="B24" s="2">
        <v>39192</v>
      </c>
      <c r="D24" s="6">
        <v>1E-3</v>
      </c>
      <c r="J24">
        <v>336</v>
      </c>
      <c r="K24" s="18">
        <f t="shared" si="0"/>
        <v>99.999702381838148</v>
      </c>
      <c r="S24" s="5">
        <v>4</v>
      </c>
      <c r="V24" s="6">
        <f t="shared" si="1"/>
        <v>84</v>
      </c>
      <c r="X24" s="21">
        <v>39192</v>
      </c>
      <c r="Y24" s="22">
        <v>18</v>
      </c>
      <c r="Z24" s="20">
        <v>15</v>
      </c>
      <c r="AA24" s="23">
        <f t="shared" si="3"/>
        <v>15</v>
      </c>
      <c r="AC24">
        <f t="shared" si="4"/>
        <v>150</v>
      </c>
      <c r="AD24">
        <v>150</v>
      </c>
    </row>
    <row r="25" spans="1:30" x14ac:dyDescent="0.25">
      <c r="A25" t="s">
        <v>103</v>
      </c>
      <c r="B25" s="2">
        <v>39193</v>
      </c>
      <c r="C25" s="5" t="s">
        <v>125</v>
      </c>
      <c r="D25" s="6">
        <v>1E-3</v>
      </c>
      <c r="F25">
        <v>134</v>
      </c>
      <c r="H25">
        <v>941</v>
      </c>
      <c r="J25">
        <v>188</v>
      </c>
      <c r="K25" s="18">
        <f t="shared" si="0"/>
        <v>14.885182197005387</v>
      </c>
      <c r="O25" s="5">
        <v>9</v>
      </c>
      <c r="Q25" s="5">
        <v>23</v>
      </c>
      <c r="S25" s="5">
        <v>8</v>
      </c>
      <c r="V25" s="6">
        <f t="shared" si="1"/>
        <v>23.5</v>
      </c>
      <c r="AD25">
        <v>150</v>
      </c>
    </row>
    <row r="26" spans="1:30" x14ac:dyDescent="0.25">
      <c r="A26" t="s">
        <v>104</v>
      </c>
      <c r="B26" s="2">
        <v>39194</v>
      </c>
      <c r="C26" s="5" t="s">
        <v>126</v>
      </c>
      <c r="D26">
        <v>73</v>
      </c>
      <c r="J26">
        <f>484+139+893+893+16+16</f>
        <v>2441</v>
      </c>
      <c r="K26" s="18">
        <f t="shared" si="0"/>
        <v>97.096260938743043</v>
      </c>
      <c r="M26" s="5">
        <v>11</v>
      </c>
      <c r="S26" s="5">
        <v>1</v>
      </c>
      <c r="V26" s="6">
        <f t="shared" si="1"/>
        <v>2441</v>
      </c>
    </row>
    <row r="27" spans="1:30" x14ac:dyDescent="0.25">
      <c r="A27" t="s">
        <v>105</v>
      </c>
      <c r="B27" s="2">
        <v>39195</v>
      </c>
      <c r="D27" s="6">
        <v>1E-3</v>
      </c>
      <c r="J27">
        <f>74+16</f>
        <v>90</v>
      </c>
      <c r="K27" s="18">
        <f t="shared" si="0"/>
        <v>99.998888901234423</v>
      </c>
      <c r="S27" s="5">
        <v>19</v>
      </c>
      <c r="V27" s="6">
        <f t="shared" si="1"/>
        <v>4.7368421052631575</v>
      </c>
    </row>
    <row r="28" spans="1:30" x14ac:dyDescent="0.25">
      <c r="A28" t="s">
        <v>106</v>
      </c>
      <c r="B28" s="2">
        <v>39196</v>
      </c>
      <c r="D28" s="6">
        <v>1E-3</v>
      </c>
      <c r="J28">
        <f>144+63</f>
        <v>207</v>
      </c>
      <c r="K28" s="18">
        <f t="shared" si="0"/>
        <v>99.999516910546333</v>
      </c>
      <c r="S28" s="5">
        <v>4</v>
      </c>
      <c r="V28" s="6">
        <f t="shared" si="1"/>
        <v>51.75</v>
      </c>
    </row>
    <row r="29" spans="1:30" x14ac:dyDescent="0.25">
      <c r="A29" t="s">
        <v>107</v>
      </c>
      <c r="B29" s="2">
        <v>39197</v>
      </c>
      <c r="D29" s="6">
        <v>1E-3</v>
      </c>
      <c r="J29">
        <f>948+948+16+16</f>
        <v>1928</v>
      </c>
      <c r="K29" s="18">
        <f t="shared" si="0"/>
        <v>99.999948132806978</v>
      </c>
      <c r="S29" s="5">
        <v>35</v>
      </c>
      <c r="V29" s="6">
        <f t="shared" si="1"/>
        <v>55.085714285714289</v>
      </c>
    </row>
    <row r="30" spans="1:30" x14ac:dyDescent="0.25">
      <c r="A30" t="s">
        <v>108</v>
      </c>
      <c r="B30" s="2">
        <v>39198</v>
      </c>
      <c r="C30" s="5" t="s">
        <v>127</v>
      </c>
      <c r="D30">
        <v>40</v>
      </c>
      <c r="J30">
        <f>631+285</f>
        <v>916</v>
      </c>
      <c r="K30" s="18">
        <f t="shared" si="0"/>
        <v>95.81589958158996</v>
      </c>
      <c r="M30" s="5">
        <v>24</v>
      </c>
      <c r="S30" s="5">
        <v>15</v>
      </c>
      <c r="V30" s="6">
        <f t="shared" si="1"/>
        <v>61.06666666666667</v>
      </c>
    </row>
    <row r="31" spans="1:30" x14ac:dyDescent="0.25">
      <c r="A31" t="s">
        <v>109</v>
      </c>
      <c r="B31" s="2">
        <v>39199</v>
      </c>
      <c r="C31" s="5" t="s">
        <v>128</v>
      </c>
      <c r="D31">
        <v>180</v>
      </c>
      <c r="J31">
        <f>462+926+902+456</f>
        <v>2746</v>
      </c>
      <c r="K31" s="18">
        <f t="shared" si="0"/>
        <v>93.848257006151741</v>
      </c>
      <c r="M31" s="5">
        <v>8</v>
      </c>
      <c r="S31" s="5">
        <v>1</v>
      </c>
      <c r="V31" s="6">
        <f t="shared" si="1"/>
        <v>2746</v>
      </c>
    </row>
    <row r="32" spans="1:30" x14ac:dyDescent="0.25">
      <c r="A32" t="s">
        <v>110</v>
      </c>
      <c r="B32" s="2">
        <v>39200</v>
      </c>
      <c r="D32" s="6">
        <v>1E-3</v>
      </c>
      <c r="J32">
        <v>445</v>
      </c>
      <c r="K32" s="18">
        <f t="shared" si="0"/>
        <v>99.999775281403871</v>
      </c>
      <c r="S32" s="5">
        <v>9</v>
      </c>
      <c r="V32" s="6">
        <f t="shared" si="1"/>
        <v>49.444444444444443</v>
      </c>
    </row>
    <row r="33" spans="1:22" x14ac:dyDescent="0.25">
      <c r="A33" t="s">
        <v>111</v>
      </c>
      <c r="B33" s="2">
        <v>39201</v>
      </c>
      <c r="D33" s="6">
        <v>1E-3</v>
      </c>
      <c r="J33">
        <f>911+476</f>
        <v>1387</v>
      </c>
      <c r="K33" s="18">
        <f t="shared" si="0"/>
        <v>99.999927901998632</v>
      </c>
      <c r="S33" s="5">
        <v>4</v>
      </c>
      <c r="V33" s="6">
        <f t="shared" si="1"/>
        <v>346.75</v>
      </c>
    </row>
    <row r="34" spans="1:22" x14ac:dyDescent="0.25">
      <c r="A34" t="s">
        <v>112</v>
      </c>
      <c r="B34" s="2">
        <v>39202</v>
      </c>
      <c r="C34" s="5" t="s">
        <v>129</v>
      </c>
      <c r="D34" s="6">
        <v>1E-3</v>
      </c>
      <c r="E34" t="s">
        <v>64</v>
      </c>
      <c r="F34">
        <v>562</v>
      </c>
      <c r="G34" t="s">
        <v>64</v>
      </c>
      <c r="H34" t="s">
        <v>64</v>
      </c>
      <c r="I34" t="s">
        <v>64</v>
      </c>
      <c r="J34">
        <v>97</v>
      </c>
      <c r="K34" s="18">
        <f t="shared" si="0"/>
        <v>14.719249287937346</v>
      </c>
      <c r="O34" s="5">
        <v>10</v>
      </c>
      <c r="S34" s="5">
        <v>7</v>
      </c>
      <c r="V34" s="6">
        <f t="shared" si="1"/>
        <v>13.857142857142858</v>
      </c>
    </row>
    <row r="35" spans="1:22" x14ac:dyDescent="0.25">
      <c r="A35" t="s">
        <v>64</v>
      </c>
      <c r="B35" s="2" t="s">
        <v>64</v>
      </c>
      <c r="C35" s="5" t="s">
        <v>64</v>
      </c>
    </row>
    <row r="36" spans="1:22" x14ac:dyDescent="0.25">
      <c r="A36" t="s">
        <v>201</v>
      </c>
    </row>
  </sheetData>
  <mergeCells count="3">
    <mergeCell ref="A1:S1"/>
    <mergeCell ref="D3:J3"/>
    <mergeCell ref="M3:S3"/>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opLeftCell="A25" zoomScale="70" zoomScaleNormal="70" workbookViewId="0">
      <selection activeCell="D44" sqref="D44"/>
    </sheetView>
  </sheetViews>
  <sheetFormatPr baseColWidth="10" defaultColWidth="15.7109375" defaultRowHeight="15" x14ac:dyDescent="0.25"/>
  <cols>
    <col min="1" max="1" width="13.85546875" customWidth="1"/>
    <col min="2" max="2" width="13.85546875" style="2" customWidth="1"/>
    <col min="3" max="3" width="6.7109375" style="5" customWidth="1"/>
    <col min="11" max="11" width="3.140625" customWidth="1"/>
    <col min="12" max="18" width="15.7109375" style="5"/>
  </cols>
  <sheetData>
    <row r="1" spans="1:20" ht="18.75" x14ac:dyDescent="0.3">
      <c r="A1" s="25" t="s">
        <v>34</v>
      </c>
      <c r="B1" s="25"/>
      <c r="C1" s="25"/>
      <c r="D1" s="26"/>
      <c r="E1" s="26"/>
      <c r="F1" s="26"/>
      <c r="G1" s="26"/>
      <c r="H1" s="26"/>
      <c r="I1" s="26"/>
      <c r="J1" s="26"/>
      <c r="K1" s="26"/>
      <c r="L1" s="26"/>
      <c r="M1" s="26"/>
      <c r="N1" s="26"/>
      <c r="O1" s="26"/>
      <c r="P1" s="26"/>
      <c r="Q1" s="26"/>
      <c r="R1" s="26"/>
    </row>
    <row r="3" spans="1:20" x14ac:dyDescent="0.25">
      <c r="A3" t="s">
        <v>0</v>
      </c>
      <c r="B3" s="2" t="s">
        <v>74</v>
      </c>
      <c r="C3" s="5" t="s">
        <v>38</v>
      </c>
      <c r="D3" s="24" t="s">
        <v>36</v>
      </c>
      <c r="E3" s="24"/>
      <c r="F3" s="24"/>
      <c r="G3" s="24"/>
      <c r="H3" s="24"/>
      <c r="I3" s="24"/>
      <c r="J3" s="24"/>
      <c r="L3" s="24" t="s">
        <v>37</v>
      </c>
      <c r="M3" s="24"/>
      <c r="N3" s="24"/>
      <c r="O3" s="24"/>
      <c r="P3" s="24"/>
      <c r="Q3" s="24"/>
      <c r="R3" s="24"/>
    </row>
    <row r="4" spans="1:20" s="3" customFormat="1" ht="54.75" customHeight="1" x14ac:dyDescent="0.25">
      <c r="B4" s="4"/>
      <c r="D4" s="3" t="s">
        <v>1</v>
      </c>
      <c r="E4" s="3" t="s">
        <v>77</v>
      </c>
      <c r="F4" s="3" t="s">
        <v>76</v>
      </c>
      <c r="G4" s="3" t="s">
        <v>82</v>
      </c>
      <c r="H4" s="3" t="s">
        <v>79</v>
      </c>
      <c r="I4" s="3" t="s">
        <v>80</v>
      </c>
      <c r="J4" s="3" t="s">
        <v>35</v>
      </c>
      <c r="L4" s="3" t="s">
        <v>1</v>
      </c>
      <c r="M4" s="3" t="s">
        <v>77</v>
      </c>
      <c r="N4" s="3" t="s">
        <v>76</v>
      </c>
      <c r="O4" s="3" t="s">
        <v>78</v>
      </c>
      <c r="P4" s="3" t="s">
        <v>79</v>
      </c>
      <c r="Q4" s="3" t="s">
        <v>80</v>
      </c>
      <c r="R4" s="3" t="s">
        <v>35</v>
      </c>
      <c r="S4" s="3" t="s">
        <v>64</v>
      </c>
      <c r="T4" s="3" t="s">
        <v>199</v>
      </c>
    </row>
    <row r="5" spans="1:20" x14ac:dyDescent="0.25">
      <c r="A5" t="s">
        <v>130</v>
      </c>
      <c r="B5" s="2">
        <v>39203</v>
      </c>
      <c r="D5" s="6">
        <v>1E-3</v>
      </c>
      <c r="S5" t="s">
        <v>64</v>
      </c>
      <c r="T5">
        <f>COUNTIF(L5:R35,1)</f>
        <v>13</v>
      </c>
    </row>
    <row r="6" spans="1:20" x14ac:dyDescent="0.25">
      <c r="A6" t="s">
        <v>131</v>
      </c>
      <c r="B6" s="2">
        <v>39204</v>
      </c>
      <c r="D6" s="6">
        <v>1E-3</v>
      </c>
      <c r="J6">
        <f>21+505+127+299+89</f>
        <v>1041</v>
      </c>
      <c r="R6" s="5">
        <v>1</v>
      </c>
    </row>
    <row r="7" spans="1:20" x14ac:dyDescent="0.25">
      <c r="A7" t="s">
        <v>132</v>
      </c>
      <c r="B7" s="2">
        <v>39205</v>
      </c>
      <c r="C7" s="5" t="s">
        <v>161</v>
      </c>
      <c r="D7">
        <v>471</v>
      </c>
      <c r="F7">
        <f>64+602</f>
        <v>666</v>
      </c>
      <c r="J7">
        <f>45+778+22</f>
        <v>845</v>
      </c>
      <c r="L7" s="5">
        <v>10</v>
      </c>
      <c r="N7" s="5">
        <v>1</v>
      </c>
      <c r="R7" s="5">
        <v>1</v>
      </c>
    </row>
    <row r="8" spans="1:20" x14ac:dyDescent="0.25">
      <c r="A8" t="s">
        <v>133</v>
      </c>
      <c r="B8" s="2">
        <v>39206</v>
      </c>
      <c r="D8" s="6">
        <v>1E-3</v>
      </c>
      <c r="J8">
        <v>360</v>
      </c>
      <c r="R8" s="5">
        <v>13</v>
      </c>
    </row>
    <row r="9" spans="1:20" x14ac:dyDescent="0.25">
      <c r="A9" t="s">
        <v>134</v>
      </c>
      <c r="B9" s="2">
        <v>39207</v>
      </c>
      <c r="D9" s="6">
        <v>1E-3</v>
      </c>
      <c r="J9">
        <f>62+474</f>
        <v>536</v>
      </c>
      <c r="R9" s="5">
        <v>1</v>
      </c>
    </row>
    <row r="10" spans="1:20" x14ac:dyDescent="0.25">
      <c r="A10" t="s">
        <v>135</v>
      </c>
      <c r="B10" s="2">
        <v>39208</v>
      </c>
      <c r="C10" s="5" t="s">
        <v>64</v>
      </c>
      <c r="D10" s="6">
        <v>1E-3</v>
      </c>
      <c r="J10">
        <f>76+619+884</f>
        <v>1579</v>
      </c>
      <c r="R10" s="5">
        <v>1</v>
      </c>
    </row>
    <row r="11" spans="1:20" x14ac:dyDescent="0.25">
      <c r="A11" t="s">
        <v>136</v>
      </c>
      <c r="B11" s="2">
        <v>39209</v>
      </c>
      <c r="D11" s="6">
        <v>1E-3</v>
      </c>
    </row>
    <row r="12" spans="1:20" x14ac:dyDescent="0.25">
      <c r="A12" t="s">
        <v>137</v>
      </c>
      <c r="B12" s="2">
        <v>39210</v>
      </c>
      <c r="C12" s="5" t="s">
        <v>162</v>
      </c>
      <c r="D12" s="6">
        <v>1E-3</v>
      </c>
      <c r="F12">
        <f>629+933+933+933+646</f>
        <v>4074</v>
      </c>
      <c r="J12">
        <f>295+935+935</f>
        <v>2165</v>
      </c>
      <c r="N12" s="5">
        <v>1</v>
      </c>
      <c r="R12" s="5">
        <v>3</v>
      </c>
    </row>
    <row r="13" spans="1:20" x14ac:dyDescent="0.25">
      <c r="A13" t="s">
        <v>138</v>
      </c>
      <c r="B13" s="2">
        <v>39211</v>
      </c>
      <c r="C13" s="5" t="s">
        <v>163</v>
      </c>
      <c r="D13" s="6">
        <v>1E-3</v>
      </c>
      <c r="F13">
        <v>938</v>
      </c>
      <c r="J13">
        <v>140</v>
      </c>
      <c r="N13" s="5">
        <v>6</v>
      </c>
      <c r="R13" s="5">
        <v>7</v>
      </c>
    </row>
    <row r="14" spans="1:20" x14ac:dyDescent="0.25">
      <c r="A14" t="s">
        <v>139</v>
      </c>
      <c r="B14" s="2">
        <v>39212</v>
      </c>
      <c r="C14" s="5" t="s">
        <v>164</v>
      </c>
      <c r="D14" s="6">
        <v>1E-3</v>
      </c>
      <c r="F14">
        <f>460+933+933</f>
        <v>2326</v>
      </c>
      <c r="N14" s="5">
        <v>1</v>
      </c>
    </row>
    <row r="15" spans="1:20" x14ac:dyDescent="0.25">
      <c r="A15" t="s">
        <v>140</v>
      </c>
      <c r="B15" s="2">
        <v>39213</v>
      </c>
      <c r="C15" s="5" t="s">
        <v>165</v>
      </c>
      <c r="D15">
        <v>50</v>
      </c>
      <c r="J15">
        <f>70+58</f>
        <v>128</v>
      </c>
      <c r="L15" s="5">
        <v>19</v>
      </c>
      <c r="R15" s="5">
        <v>8</v>
      </c>
    </row>
    <row r="16" spans="1:20" x14ac:dyDescent="0.25">
      <c r="A16" t="s">
        <v>141</v>
      </c>
      <c r="B16" s="2">
        <v>39214</v>
      </c>
      <c r="C16" s="5" t="s">
        <v>166</v>
      </c>
      <c r="D16">
        <v>616</v>
      </c>
      <c r="J16">
        <f>468+261</f>
        <v>729</v>
      </c>
      <c r="L16" s="5">
        <v>23</v>
      </c>
      <c r="R16" s="5">
        <v>5</v>
      </c>
    </row>
    <row r="17" spans="1:18" x14ac:dyDescent="0.25">
      <c r="A17" t="s">
        <v>142</v>
      </c>
      <c r="B17" s="2">
        <v>39215</v>
      </c>
      <c r="C17" s="5" t="s">
        <v>167</v>
      </c>
      <c r="D17">
        <v>44</v>
      </c>
      <c r="J17">
        <f>69+289</f>
        <v>358</v>
      </c>
      <c r="L17" s="5">
        <v>5</v>
      </c>
      <c r="R17" s="5">
        <v>1</v>
      </c>
    </row>
    <row r="18" spans="1:18" x14ac:dyDescent="0.25">
      <c r="A18" t="s">
        <v>143</v>
      </c>
      <c r="B18" s="2">
        <v>39216</v>
      </c>
      <c r="C18" s="5" t="s">
        <v>168</v>
      </c>
      <c r="D18" s="6">
        <v>1E-3</v>
      </c>
      <c r="F18">
        <v>698</v>
      </c>
      <c r="G18">
        <f>639+722+917+917+542+917+220+700+638+917+917+917+917</f>
        <v>9880</v>
      </c>
      <c r="J18">
        <v>422</v>
      </c>
      <c r="L18" s="5" t="s">
        <v>64</v>
      </c>
      <c r="N18" s="5">
        <v>19</v>
      </c>
      <c r="O18" s="5">
        <v>1</v>
      </c>
      <c r="R18" s="5">
        <v>17</v>
      </c>
    </row>
    <row r="19" spans="1:18" x14ac:dyDescent="0.25">
      <c r="A19" t="s">
        <v>144</v>
      </c>
      <c r="B19" s="2">
        <v>39217</v>
      </c>
      <c r="C19" s="5" t="s">
        <v>169</v>
      </c>
      <c r="D19" s="6">
        <v>1E-3</v>
      </c>
      <c r="G19">
        <f>703+464+696+923+633+923+541+923+923+642+923+238</f>
        <v>8532</v>
      </c>
      <c r="J19" t="s">
        <v>64</v>
      </c>
      <c r="O19" s="5">
        <v>1</v>
      </c>
    </row>
    <row r="20" spans="1:18" x14ac:dyDescent="0.25">
      <c r="A20" t="s">
        <v>145</v>
      </c>
      <c r="B20" s="2">
        <v>39218</v>
      </c>
      <c r="C20" s="5" t="s">
        <v>170</v>
      </c>
      <c r="D20" s="6">
        <v>1E-3</v>
      </c>
      <c r="E20">
        <f>569+923</f>
        <v>1492</v>
      </c>
      <c r="G20">
        <f>766+299+681+278+145+118</f>
        <v>2287</v>
      </c>
      <c r="J20">
        <v>302</v>
      </c>
      <c r="M20" s="5">
        <v>1</v>
      </c>
      <c r="O20" s="5">
        <v>8</v>
      </c>
      <c r="R20" s="5">
        <v>3</v>
      </c>
    </row>
    <row r="21" spans="1:18" x14ac:dyDescent="0.25">
      <c r="A21" t="s">
        <v>146</v>
      </c>
      <c r="B21" s="2">
        <v>39219</v>
      </c>
      <c r="C21" s="5" t="s">
        <v>171</v>
      </c>
      <c r="D21">
        <f>126</f>
        <v>126</v>
      </c>
      <c r="G21">
        <f>586+155</f>
        <v>741</v>
      </c>
      <c r="J21">
        <v>66</v>
      </c>
      <c r="L21" s="5">
        <v>17</v>
      </c>
      <c r="O21" s="5">
        <v>22</v>
      </c>
      <c r="R21" s="5">
        <v>6</v>
      </c>
    </row>
    <row r="22" spans="1:18" x14ac:dyDescent="0.25">
      <c r="A22" t="s">
        <v>147</v>
      </c>
      <c r="B22" s="2">
        <v>39220</v>
      </c>
      <c r="C22" s="5" t="s">
        <v>172</v>
      </c>
      <c r="D22" s="6">
        <v>1E-3</v>
      </c>
      <c r="G22">
        <v>298</v>
      </c>
      <c r="J22">
        <v>74</v>
      </c>
      <c r="O22" s="5">
        <v>8</v>
      </c>
      <c r="R22" s="5">
        <v>6</v>
      </c>
    </row>
    <row r="23" spans="1:18" x14ac:dyDescent="0.25">
      <c r="A23" t="s">
        <v>148</v>
      </c>
      <c r="B23" s="2">
        <v>39221</v>
      </c>
      <c r="C23" s="5" t="s">
        <v>173</v>
      </c>
      <c r="D23">
        <v>52</v>
      </c>
      <c r="G23">
        <f>581+115</f>
        <v>696</v>
      </c>
      <c r="L23" s="5">
        <v>21</v>
      </c>
      <c r="O23" s="5">
        <v>26</v>
      </c>
    </row>
    <row r="24" spans="1:18" x14ac:dyDescent="0.25">
      <c r="A24" t="s">
        <v>149</v>
      </c>
      <c r="B24" s="2">
        <v>39222</v>
      </c>
      <c r="C24" s="5" t="s">
        <v>174</v>
      </c>
      <c r="D24">
        <f>902+902+175</f>
        <v>1979</v>
      </c>
      <c r="G24">
        <f>481+903</f>
        <v>1384</v>
      </c>
      <c r="J24">
        <v>123</v>
      </c>
      <c r="L24" s="5">
        <v>10</v>
      </c>
      <c r="O24" s="5">
        <v>8</v>
      </c>
      <c r="R24" s="5">
        <v>5</v>
      </c>
    </row>
    <row r="25" spans="1:18" x14ac:dyDescent="0.25">
      <c r="A25" t="s">
        <v>150</v>
      </c>
      <c r="B25" s="2">
        <v>39223</v>
      </c>
      <c r="C25" s="5" t="s">
        <v>175</v>
      </c>
      <c r="D25" s="6">
        <v>1E-3</v>
      </c>
      <c r="G25">
        <f>281+582</f>
        <v>863</v>
      </c>
      <c r="O25" s="5">
        <v>16</v>
      </c>
    </row>
    <row r="26" spans="1:18" x14ac:dyDescent="0.25">
      <c r="A26" t="s">
        <v>151</v>
      </c>
      <c r="B26" s="2">
        <v>39224</v>
      </c>
      <c r="C26" s="5" t="s">
        <v>176</v>
      </c>
      <c r="D26">
        <v>197</v>
      </c>
      <c r="G26">
        <f>256+476</f>
        <v>732</v>
      </c>
      <c r="L26" s="5">
        <v>52</v>
      </c>
      <c r="O26" s="5">
        <v>3</v>
      </c>
    </row>
    <row r="27" spans="1:18" x14ac:dyDescent="0.25">
      <c r="A27" t="s">
        <v>152</v>
      </c>
      <c r="B27" s="2">
        <v>39225</v>
      </c>
      <c r="C27" s="5" t="s">
        <v>64</v>
      </c>
      <c r="D27" s="6">
        <v>1E-3</v>
      </c>
    </row>
    <row r="28" spans="1:18" x14ac:dyDescent="0.25">
      <c r="A28" t="s">
        <v>153</v>
      </c>
      <c r="B28" s="2">
        <v>39226</v>
      </c>
      <c r="C28" s="5" t="s">
        <v>177</v>
      </c>
      <c r="D28">
        <v>75</v>
      </c>
      <c r="L28" s="5">
        <v>57</v>
      </c>
    </row>
    <row r="29" spans="1:18" x14ac:dyDescent="0.25">
      <c r="A29" t="s">
        <v>154</v>
      </c>
      <c r="B29" s="2">
        <v>39227</v>
      </c>
      <c r="C29" s="5" t="s">
        <v>178</v>
      </c>
      <c r="D29">
        <v>55</v>
      </c>
      <c r="L29" s="5">
        <v>10</v>
      </c>
    </row>
    <row r="30" spans="1:18" x14ac:dyDescent="0.25">
      <c r="A30" t="s">
        <v>155</v>
      </c>
      <c r="B30" s="2">
        <v>39228</v>
      </c>
      <c r="C30" s="5" t="s">
        <v>179</v>
      </c>
      <c r="D30">
        <v>95</v>
      </c>
      <c r="J30">
        <f>924+358</f>
        <v>1282</v>
      </c>
      <c r="L30" s="5">
        <v>58</v>
      </c>
      <c r="R30" s="5">
        <v>14</v>
      </c>
    </row>
    <row r="31" spans="1:18" x14ac:dyDescent="0.25">
      <c r="A31" t="s">
        <v>156</v>
      </c>
      <c r="B31" s="2">
        <v>39229</v>
      </c>
      <c r="C31" s="5" t="s">
        <v>180</v>
      </c>
      <c r="D31" s="6">
        <v>1E-3</v>
      </c>
      <c r="G31">
        <f>19+255</f>
        <v>274</v>
      </c>
      <c r="J31">
        <v>179</v>
      </c>
      <c r="O31" s="5">
        <v>1</v>
      </c>
      <c r="R31" s="5">
        <v>6</v>
      </c>
    </row>
    <row r="32" spans="1:18" x14ac:dyDescent="0.25">
      <c r="A32" t="s">
        <v>157</v>
      </c>
      <c r="B32" s="2">
        <v>39230</v>
      </c>
      <c r="C32" s="5" t="s">
        <v>181</v>
      </c>
      <c r="D32" s="6">
        <v>1E-3</v>
      </c>
      <c r="G32">
        <f>706+567</f>
        <v>1273</v>
      </c>
      <c r="O32" s="5">
        <v>1</v>
      </c>
    </row>
    <row r="33" spans="1:18" x14ac:dyDescent="0.25">
      <c r="A33" t="s">
        <v>158</v>
      </c>
      <c r="B33" s="2">
        <v>39231</v>
      </c>
      <c r="C33" s="5" t="s">
        <v>182</v>
      </c>
      <c r="D33" s="6">
        <v>1E-3</v>
      </c>
      <c r="G33">
        <v>67</v>
      </c>
      <c r="O33" s="5">
        <v>4</v>
      </c>
    </row>
    <row r="34" spans="1:18" x14ac:dyDescent="0.25">
      <c r="A34" t="s">
        <v>159</v>
      </c>
      <c r="B34" s="2">
        <v>39232</v>
      </c>
      <c r="D34" s="6">
        <v>1E-3</v>
      </c>
      <c r="I34">
        <v>78</v>
      </c>
      <c r="J34">
        <v>461</v>
      </c>
      <c r="Q34" s="5">
        <v>40</v>
      </c>
      <c r="R34" s="5">
        <v>3</v>
      </c>
    </row>
    <row r="35" spans="1:18" x14ac:dyDescent="0.25">
      <c r="A35" t="s">
        <v>160</v>
      </c>
      <c r="B35" s="2">
        <v>39233</v>
      </c>
      <c r="D35" s="6">
        <v>1E-3</v>
      </c>
    </row>
    <row r="37" spans="1:18" x14ac:dyDescent="0.25">
      <c r="A37" t="s">
        <v>201</v>
      </c>
    </row>
  </sheetData>
  <mergeCells count="3">
    <mergeCell ref="A1:R1"/>
    <mergeCell ref="D3:J3"/>
    <mergeCell ref="L3:R3"/>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abSelected="1" workbookViewId="0">
      <selection activeCell="C11" sqref="C11"/>
    </sheetView>
  </sheetViews>
  <sheetFormatPr baseColWidth="10" defaultRowHeight="15" x14ac:dyDescent="0.25"/>
  <cols>
    <col min="1" max="4" width="25.42578125" customWidth="1"/>
  </cols>
  <sheetData>
    <row r="1" spans="1:7" ht="21" x14ac:dyDescent="0.35">
      <c r="A1" s="27" t="s">
        <v>34</v>
      </c>
      <c r="B1" s="28"/>
      <c r="C1" s="28"/>
      <c r="D1" s="29"/>
    </row>
    <row r="2" spans="1:7" ht="15.75" thickBot="1" x14ac:dyDescent="0.3">
      <c r="A2" t="s">
        <v>183</v>
      </c>
      <c r="B2" t="s">
        <v>184</v>
      </c>
      <c r="C2" t="s">
        <v>192</v>
      </c>
      <c r="D2" t="s">
        <v>193</v>
      </c>
    </row>
    <row r="3" spans="1:7" x14ac:dyDescent="0.25">
      <c r="A3" t="s">
        <v>185</v>
      </c>
      <c r="B3" s="6">
        <f>SUM('Page Area Date - 03-07'!D5:D35)+SUM('Page Area Date - 04-07'!D5:D34)+SUM('Page Area Date - 05-07'!D5:D35)+SUM('Page Area Date - 03-07'!H5:H35)+SUM('Page Area Date - 04-07'!H5:H35)+SUM('Page Area Date - 05-07'!H5:H34)</f>
        <v>93606.035000000003</v>
      </c>
      <c r="C3" s="9">
        <f>(B3/$B$7)*100</f>
        <v>42.438237360754826</v>
      </c>
      <c r="D3" s="10">
        <f>(B3/$B$14)*100</f>
        <v>2.2100872408745338</v>
      </c>
      <c r="F3" s="14">
        <f>B7/(100*100)</f>
        <v>22.0570035</v>
      </c>
      <c r="G3" s="12" t="s">
        <v>195</v>
      </c>
    </row>
    <row r="4" spans="1:7" ht="15.75" thickBot="1" x14ac:dyDescent="0.3">
      <c r="A4" t="s">
        <v>194</v>
      </c>
      <c r="B4" s="6">
        <f>SUM('Page Area Date - 03-07'!F6:F36)+SUM('Page Area Date - 04-07'!F6:F35)+SUM('Page Area Date - 05-07'!F6:F36)</f>
        <v>13430</v>
      </c>
      <c r="C4" s="9">
        <f t="shared" ref="C4:C6" si="0">(B4/$B$7)*100</f>
        <v>6.0887690388225213</v>
      </c>
      <c r="D4" s="10">
        <f>(B4/$B$14)*100</f>
        <v>0.3170892949898475</v>
      </c>
      <c r="F4" s="15">
        <f>F3/B9</f>
        <v>0.24507781666666667</v>
      </c>
      <c r="G4" s="13" t="s">
        <v>196</v>
      </c>
    </row>
    <row r="5" spans="1:7" x14ac:dyDescent="0.25">
      <c r="A5" t="s">
        <v>78</v>
      </c>
      <c r="B5" s="6">
        <f>SUM('Page Area Date - 03-07'!G7:G37)+SUM('Page Area Date - 04-07'!G7:G36)+SUM('Page Area Date - 05-07'!G7:G37)</f>
        <v>27027</v>
      </c>
      <c r="C5" s="9">
        <f t="shared" si="0"/>
        <v>12.253250991232784</v>
      </c>
      <c r="D5" s="10">
        <f>(B5/$B$14)*100</f>
        <v>0.63812154696132595</v>
      </c>
    </row>
    <row r="6" spans="1:7" x14ac:dyDescent="0.25">
      <c r="A6" t="s">
        <v>186</v>
      </c>
      <c r="B6" s="6">
        <f>SUM('Page Area Date - 03-07'!J5:J35)+SUM('Page Area Date - 04-07'!J5:J34)+SUM('Page Area Date - 05-07'!J8:J38)</f>
        <v>86507</v>
      </c>
      <c r="C6" s="9">
        <f t="shared" si="0"/>
        <v>39.219742609189865</v>
      </c>
      <c r="D6" s="10">
        <f>(B6/$B$14)*100</f>
        <v>2.0424753270057137</v>
      </c>
    </row>
    <row r="7" spans="1:7" ht="15.75" thickBot="1" x14ac:dyDescent="0.3">
      <c r="A7" s="7" t="s">
        <v>187</v>
      </c>
      <c r="B7" s="8">
        <f>SUM(B3:B6)</f>
        <v>220570.035</v>
      </c>
      <c r="C7" s="7"/>
      <c r="D7" s="11">
        <f>(B7/$B$14)*100</f>
        <v>5.2077734098314208</v>
      </c>
    </row>
    <row r="8" spans="1:7" ht="15.75" thickTop="1" x14ac:dyDescent="0.25"/>
    <row r="9" spans="1:7" x14ac:dyDescent="0.25">
      <c r="A9" t="s">
        <v>188</v>
      </c>
      <c r="B9">
        <f>31+29+30</f>
        <v>90</v>
      </c>
    </row>
    <row r="10" spans="1:7" x14ac:dyDescent="0.25">
      <c r="A10" t="s">
        <v>197</v>
      </c>
      <c r="B10">
        <v>52</v>
      </c>
    </row>
    <row r="11" spans="1:7" x14ac:dyDescent="0.25">
      <c r="A11" t="s">
        <v>189</v>
      </c>
      <c r="B11">
        <v>905</v>
      </c>
      <c r="C11" t="s">
        <v>190</v>
      </c>
    </row>
    <row r="13" spans="1:7" x14ac:dyDescent="0.25">
      <c r="D13" t="s">
        <v>64</v>
      </c>
    </row>
    <row r="14" spans="1:7" x14ac:dyDescent="0.25">
      <c r="A14" t="s">
        <v>191</v>
      </c>
      <c r="B14">
        <f>B9*B10*B11</f>
        <v>4235400</v>
      </c>
      <c r="C14" t="s">
        <v>190</v>
      </c>
    </row>
    <row r="15" spans="1:7" x14ac:dyDescent="0.25">
      <c r="B15">
        <f>B14/(100*100)</f>
        <v>423.54</v>
      </c>
      <c r="C15" t="s">
        <v>195</v>
      </c>
    </row>
    <row r="16" spans="1:7" x14ac:dyDescent="0.25">
      <c r="B16">
        <f>B15/B9</f>
        <v>4.7060000000000004</v>
      </c>
      <c r="C16" t="s">
        <v>64</v>
      </c>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Page Area Date - 03-07</vt:lpstr>
      <vt:lpstr>Page Area Date - 04-07</vt:lpstr>
      <vt:lpstr>Page Area Date - 05-07</vt:lpstr>
      <vt:lpstr>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Harris</dc:creator>
  <cp:lastModifiedBy>Andrew Harris</cp:lastModifiedBy>
  <cp:lastPrinted>2017-11-22T12:17:44Z</cp:lastPrinted>
  <dcterms:created xsi:type="dcterms:W3CDTF">2015-11-06T14:08:01Z</dcterms:created>
  <dcterms:modified xsi:type="dcterms:W3CDTF">2017-11-29T13:00:53Z</dcterms:modified>
</cp:coreProperties>
</file>